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12" documentId="8_{E13085B7-851C-4092-B607-9EA103783F90}" xr6:coauthVersionLast="47" xr6:coauthVersionMax="47" xr10:uidLastSave="{4BBA7EC1-5CEF-49F9-B7FA-EC74671BA66F}"/>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392" i="43" l="1"/>
  <c r="O1391" i="43"/>
  <c r="O1390" i="43"/>
  <c r="O1389" i="43"/>
  <c r="O1388" i="43"/>
  <c r="O1387" i="43"/>
  <c r="O1386" i="43"/>
  <c r="O1385" i="43"/>
  <c r="O1384" i="43"/>
  <c r="O1383" i="43"/>
  <c r="O1382" i="43"/>
  <c r="O1381" i="43"/>
  <c r="O1380" i="43"/>
  <c r="O1379" i="43"/>
  <c r="O1378" i="43"/>
  <c r="O1377" i="43"/>
  <c r="O1376" i="43"/>
  <c r="O1375" i="43"/>
  <c r="O1374" i="43"/>
  <c r="O1373" i="43"/>
  <c r="O1372" i="43"/>
  <c r="O1371" i="43"/>
  <c r="O1370" i="43"/>
  <c r="O1369" i="43"/>
  <c r="O1368" i="43"/>
  <c r="O1367" i="43"/>
  <c r="O1366" i="43"/>
  <c r="O1365" i="43"/>
  <c r="O1364" i="43"/>
  <c r="O1363" i="43"/>
  <c r="O1362" i="43"/>
  <c r="O1361" i="43"/>
  <c r="O1360" i="43"/>
  <c r="O1359" i="43"/>
  <c r="O1358" i="43"/>
  <c r="O1357" i="43"/>
  <c r="O1356" i="43"/>
  <c r="O1355" i="43"/>
  <c r="O1354" i="43"/>
  <c r="O1353" i="43"/>
  <c r="O1352" i="43"/>
  <c r="O1351" i="43"/>
  <c r="O1350" i="43"/>
  <c r="O1349" i="43"/>
  <c r="O1348" i="43"/>
  <c r="O1347" i="43"/>
  <c r="O1346" i="43"/>
  <c r="O1345" i="43"/>
  <c r="O1344" i="43"/>
  <c r="O1343" i="43"/>
  <c r="O1342" i="43"/>
  <c r="O1341" i="43"/>
  <c r="O1340" i="43"/>
  <c r="O1339" i="43"/>
  <c r="O1338" i="43"/>
  <c r="O1337" i="43"/>
  <c r="O1336" i="43"/>
  <c r="O1335" i="43"/>
  <c r="O1334" i="43"/>
  <c r="O1333" i="43"/>
  <c r="O1332" i="43"/>
  <c r="O1331" i="43"/>
  <c r="O1330" i="43"/>
  <c r="O1329" i="43"/>
  <c r="O1328" i="43"/>
  <c r="O1327" i="43"/>
  <c r="O1326" i="43"/>
  <c r="O1325" i="43"/>
  <c r="O1324" i="43"/>
  <c r="O1323" i="43"/>
  <c r="O1322" i="43"/>
  <c r="O1321" i="43"/>
  <c r="O1320" i="43"/>
  <c r="O1319" i="43"/>
  <c r="O1318" i="43"/>
  <c r="O1317" i="43"/>
  <c r="O1316" i="43"/>
  <c r="O1315" i="43"/>
  <c r="O1314" i="43"/>
  <c r="O1313" i="43"/>
  <c r="O1312" i="43"/>
  <c r="O1311" i="43"/>
  <c r="O1310" i="43"/>
  <c r="O1309" i="43"/>
  <c r="O1308" i="43"/>
  <c r="O1307" i="43"/>
  <c r="O1306" i="43"/>
  <c r="O1305" i="43"/>
  <c r="O1304" i="43"/>
  <c r="O1303" i="43"/>
  <c r="O1302" i="43"/>
  <c r="O1301" i="43"/>
  <c r="O1300" i="43"/>
  <c r="O1299" i="43"/>
  <c r="O1298" i="43"/>
  <c r="O1297" i="43"/>
  <c r="O1296" i="43"/>
  <c r="O1295" i="43"/>
  <c r="O1294" i="43"/>
  <c r="O1293" i="43"/>
  <c r="O1292" i="43"/>
  <c r="O1291" i="43"/>
  <c r="O1290" i="43"/>
  <c r="O1289" i="43"/>
  <c r="O1288" i="43"/>
  <c r="O1287" i="43"/>
  <c r="O1286" i="43"/>
  <c r="O1285" i="43"/>
  <c r="O1284" i="43"/>
  <c r="O1283" i="43"/>
  <c r="O1282" i="43"/>
  <c r="O1281" i="43"/>
  <c r="O1280" i="43"/>
  <c r="O1279" i="43"/>
  <c r="O1278" i="43"/>
  <c r="O1277" i="43"/>
  <c r="O1276" i="43"/>
  <c r="O1275" i="43"/>
  <c r="O1274" i="43"/>
  <c r="O1273" i="43"/>
  <c r="O1272" i="43"/>
  <c r="O1271" i="43"/>
  <c r="O1270" i="43"/>
  <c r="O1269" i="43"/>
  <c r="O1268" i="43"/>
  <c r="O1267" i="43"/>
  <c r="O1266" i="43"/>
  <c r="O1265" i="43"/>
  <c r="O1264" i="43"/>
  <c r="O1263" i="43"/>
  <c r="O1262" i="43"/>
  <c r="O1261" i="43"/>
  <c r="O1260" i="43"/>
  <c r="O1259" i="43"/>
  <c r="O1258" i="43"/>
  <c r="O1257" i="43"/>
  <c r="O1256" i="43"/>
  <c r="O1255" i="43"/>
  <c r="O1254" i="43"/>
  <c r="O1253" i="43"/>
  <c r="O1252" i="43"/>
  <c r="O1251" i="43"/>
  <c r="O1250" i="43"/>
  <c r="O1249" i="43"/>
  <c r="O1248" i="43"/>
  <c r="O1247" i="43"/>
  <c r="O1246" i="43"/>
  <c r="O1245" i="43"/>
  <c r="O1244" i="43"/>
  <c r="O1243" i="43"/>
  <c r="O1242" i="43"/>
  <c r="O1241" i="43"/>
  <c r="O1240" i="43"/>
  <c r="O1239" i="43"/>
  <c r="O1238" i="43"/>
  <c r="O1237" i="43"/>
  <c r="O1236" i="43"/>
  <c r="O1235" i="43"/>
  <c r="O1234" i="43"/>
  <c r="O1233" i="43"/>
  <c r="O1232" i="43"/>
  <c r="O1231" i="43"/>
  <c r="O1230" i="43"/>
  <c r="O1229" i="43"/>
  <c r="O1228" i="43"/>
  <c r="O1227" i="43"/>
  <c r="O1226" i="43"/>
  <c r="O1225" i="43"/>
  <c r="O1224" i="43"/>
  <c r="O1223" i="43"/>
  <c r="O1222" i="43"/>
  <c r="O1221" i="43"/>
  <c r="O1220" i="43"/>
  <c r="O1219" i="43"/>
  <c r="O1218" i="43"/>
  <c r="O1217" i="43"/>
  <c r="O1216" i="43"/>
  <c r="O1215" i="43"/>
  <c r="O1214" i="43"/>
  <c r="O1213" i="43"/>
  <c r="O1212" i="43"/>
  <c r="O1211" i="43"/>
  <c r="O1210" i="43"/>
  <c r="O1209" i="43"/>
  <c r="O1208" i="43"/>
  <c r="O1207" i="43"/>
  <c r="O1206" i="43"/>
  <c r="O1205" i="43"/>
  <c r="O1204" i="43"/>
  <c r="O1203" i="43"/>
  <c r="O1202" i="43"/>
  <c r="O1201" i="43"/>
  <c r="O1200" i="43"/>
  <c r="O1199" i="43"/>
  <c r="O1198" i="43"/>
  <c r="O1197" i="43"/>
  <c r="O1196" i="43"/>
  <c r="O1195" i="43"/>
  <c r="O1194" i="43"/>
  <c r="O1193" i="43"/>
  <c r="O1192" i="43"/>
  <c r="O1191" i="43"/>
  <c r="O1190" i="43"/>
  <c r="O1189" i="43"/>
  <c r="O1188" i="43"/>
  <c r="O1187" i="43"/>
  <c r="O1186" i="43"/>
  <c r="O1185" i="43"/>
  <c r="O1184" i="43"/>
  <c r="O1183" i="43"/>
  <c r="O1182" i="43"/>
  <c r="O1181" i="43"/>
  <c r="O1180" i="43"/>
  <c r="O1179" i="43"/>
  <c r="O1178" i="43"/>
  <c r="O1177" i="43"/>
  <c r="O1176" i="43"/>
  <c r="O1175" i="43"/>
  <c r="O1174" i="43"/>
  <c r="O1173" i="43"/>
  <c r="O1172" i="43"/>
  <c r="O1171" i="43"/>
  <c r="O1170" i="43"/>
  <c r="O1169" i="43"/>
  <c r="O1168" i="43"/>
  <c r="O1167" i="43"/>
  <c r="O1166" i="43"/>
  <c r="O1165" i="43"/>
  <c r="O1164" i="43"/>
  <c r="O1163" i="43"/>
  <c r="O1162" i="43"/>
  <c r="O1161" i="43"/>
  <c r="O1160" i="43"/>
  <c r="O1159" i="43"/>
  <c r="O1158" i="43"/>
  <c r="O1157" i="43"/>
  <c r="O1156" i="43"/>
  <c r="O1155" i="43"/>
  <c r="O1154" i="43"/>
  <c r="O1153" i="43"/>
  <c r="O1152" i="43"/>
  <c r="O1151" i="43"/>
  <c r="O1150" i="43"/>
  <c r="O1149" i="43"/>
  <c r="O1148" i="43"/>
  <c r="O1147" i="43"/>
  <c r="O1146" i="43"/>
  <c r="O1145" i="43"/>
  <c r="O1144" i="43"/>
  <c r="O1143" i="43"/>
  <c r="O1142" i="43"/>
  <c r="O1141" i="43"/>
  <c r="O1140" i="43"/>
  <c r="O1139" i="43"/>
  <c r="O1138" i="43"/>
  <c r="O1137" i="43"/>
  <c r="O1136" i="43"/>
  <c r="O1135" i="43"/>
  <c r="O1134" i="43"/>
  <c r="O1133" i="43"/>
  <c r="O1132" i="43"/>
  <c r="O1131" i="43"/>
  <c r="O1130" i="43"/>
  <c r="O1129" i="43"/>
  <c r="O1128" i="43"/>
  <c r="O1127" i="43"/>
  <c r="O1126" i="43"/>
  <c r="O1125" i="43"/>
  <c r="O1124" i="43"/>
  <c r="O1123" i="43"/>
  <c r="O1122" i="43"/>
  <c r="O1121" i="43"/>
  <c r="O1120" i="43"/>
  <c r="O1119" i="43"/>
  <c r="O1118" i="43"/>
  <c r="O1117" i="43"/>
  <c r="O1116" i="43"/>
  <c r="O1115" i="43"/>
  <c r="O1114" i="43"/>
  <c r="O1113" i="43"/>
  <c r="O1112" i="43"/>
  <c r="O1111" i="43"/>
  <c r="O1110" i="43"/>
  <c r="O1109" i="43"/>
  <c r="O1108" i="43"/>
  <c r="O1107" i="43"/>
  <c r="O1106" i="43"/>
  <c r="O1105" i="43"/>
  <c r="O1104" i="43"/>
  <c r="O1103" i="43"/>
  <c r="O1102" i="43"/>
  <c r="O1101" i="43"/>
  <c r="O1100" i="43"/>
  <c r="O1099" i="43"/>
  <c r="O1098" i="43"/>
  <c r="O1097" i="43"/>
  <c r="O1096" i="43"/>
  <c r="O1095" i="43"/>
  <c r="O1094" i="43"/>
  <c r="O1093" i="43"/>
  <c r="O1092" i="43"/>
  <c r="O1091" i="43"/>
  <c r="O1090" i="43"/>
  <c r="O1089" i="43"/>
  <c r="O1088" i="43"/>
  <c r="O1087" i="43"/>
  <c r="O1086" i="43"/>
  <c r="O1085" i="43"/>
  <c r="O1084" i="43"/>
  <c r="O1083" i="43"/>
  <c r="O1082" i="43"/>
  <c r="O1081" i="43"/>
  <c r="O1080" i="43"/>
  <c r="O1079" i="43"/>
  <c r="O1078" i="43"/>
  <c r="O1077" i="43"/>
  <c r="O1076" i="43"/>
  <c r="O1075" i="43"/>
  <c r="O1074" i="43"/>
  <c r="O1073" i="43"/>
  <c r="O1072" i="43"/>
  <c r="O1071" i="43"/>
  <c r="O1070" i="43"/>
  <c r="O1069" i="43"/>
  <c r="O1068" i="43"/>
  <c r="O1067" i="43"/>
  <c r="O1066" i="43"/>
  <c r="O1065" i="43"/>
  <c r="O1064" i="43"/>
  <c r="O1063" i="43"/>
  <c r="O1062" i="43"/>
  <c r="O1061" i="43"/>
  <c r="O1060" i="43"/>
  <c r="O1059" i="43"/>
  <c r="O1058" i="43"/>
  <c r="O1057" i="43"/>
  <c r="O1056" i="43"/>
  <c r="O1055" i="43"/>
  <c r="O1054" i="43"/>
  <c r="O1053" i="43"/>
  <c r="O1052" i="43"/>
  <c r="O1051" i="43"/>
  <c r="O1050" i="43"/>
  <c r="O1049" i="43"/>
  <c r="O1048" i="43"/>
  <c r="O1047" i="43"/>
  <c r="O1046" i="43"/>
  <c r="O1045" i="43"/>
  <c r="O1044" i="43"/>
  <c r="O1043" i="43"/>
  <c r="O1042" i="43"/>
  <c r="O1041" i="43"/>
  <c r="O1040" i="43"/>
  <c r="O1039" i="43"/>
  <c r="O1038" i="43"/>
  <c r="O1037" i="43"/>
  <c r="O1036" i="43"/>
  <c r="O1035" i="43"/>
  <c r="O1034" i="43"/>
  <c r="O1033" i="43"/>
  <c r="O1032" i="43"/>
  <c r="O1031" i="43"/>
  <c r="O1030" i="43"/>
  <c r="O1029" i="43"/>
  <c r="O1028" i="43"/>
  <c r="O1027" i="43"/>
  <c r="O1026" i="43"/>
  <c r="O1025" i="43"/>
  <c r="O1024" i="43"/>
  <c r="O1023" i="43"/>
  <c r="O1022" i="43"/>
  <c r="O1021" i="43"/>
  <c r="O1020" i="43"/>
  <c r="O1019" i="43"/>
  <c r="O1018" i="43"/>
  <c r="O1017" i="43"/>
  <c r="O1016" i="43"/>
  <c r="O1015" i="43"/>
  <c r="O1014" i="43"/>
  <c r="O1013" i="43"/>
  <c r="O1012" i="43"/>
  <c r="O1011" i="43"/>
  <c r="O1010" i="43"/>
  <c r="O1009" i="43"/>
  <c r="O1008" i="43"/>
  <c r="O1007" i="43"/>
  <c r="O1006" i="43"/>
  <c r="O1005" i="43"/>
  <c r="O1004" i="43"/>
  <c r="O1003" i="43"/>
  <c r="O1002" i="43"/>
  <c r="O1001" i="43"/>
  <c r="O1000" i="43"/>
  <c r="O999" i="43"/>
  <c r="O998" i="43"/>
  <c r="O997" i="43"/>
  <c r="O996" i="43"/>
  <c r="O995" i="43"/>
  <c r="O994" i="43"/>
  <c r="O993" i="43"/>
  <c r="O992" i="43"/>
  <c r="O991" i="43"/>
  <c r="O990" i="43"/>
  <c r="O989" i="43"/>
  <c r="O988" i="43"/>
  <c r="O987" i="43"/>
  <c r="O986" i="43"/>
  <c r="O985" i="43"/>
  <c r="O984" i="43"/>
  <c r="O983" i="43"/>
  <c r="O982" i="43"/>
  <c r="O981" i="43"/>
  <c r="O980" i="43"/>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E11" i="29"/>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G4543" i="40" s="1"/>
  <c r="C1313" i="10"/>
  <c r="K4445" i="40" s="1"/>
  <c r="I1311" i="10"/>
  <c r="G5025" i="40" s="1"/>
  <c r="H1310" i="10"/>
  <c r="K4927" i="40" s="1"/>
  <c r="G1309" i="10"/>
  <c r="F1308" i="10"/>
  <c r="E1307" i="10"/>
  <c r="D1306" i="10"/>
  <c r="G4535" i="40" s="1"/>
  <c r="C1305" i="10"/>
  <c r="I1303" i="10"/>
  <c r="G5017" i="40" s="1"/>
  <c r="H1302" i="10"/>
  <c r="G1301" i="10"/>
  <c r="I4821" i="40" s="1"/>
  <c r="F1300" i="10"/>
  <c r="E1299" i="10"/>
  <c r="D1298" i="10"/>
  <c r="G4527" i="40" s="1"/>
  <c r="C1297" i="10"/>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G4642" i="40" s="1"/>
  <c r="D1315" i="10"/>
  <c r="G4544" i="40" s="1"/>
  <c r="C1314" i="10"/>
  <c r="I1312" i="10"/>
  <c r="G5026" i="40" s="1"/>
  <c r="H1311" i="10"/>
  <c r="K4928" i="40" s="1"/>
  <c r="G1310" i="10"/>
  <c r="F1309" i="10"/>
  <c r="I4732" i="40" s="1"/>
  <c r="E1308" i="10"/>
  <c r="G4634" i="40" s="1"/>
  <c r="D1307" i="10"/>
  <c r="G4536" i="40" s="1"/>
  <c r="C1306" i="10"/>
  <c r="K4438" i="40" s="1"/>
  <c r="I1304" i="10"/>
  <c r="H1303" i="10"/>
  <c r="G1302" i="10"/>
  <c r="I4822" i="40" s="1"/>
  <c r="F1301" i="10"/>
  <c r="I4724" i="40" s="1"/>
  <c r="E1300" i="10"/>
  <c r="G4626" i="40" s="1"/>
  <c r="D1299" i="10"/>
  <c r="G4528" i="40" s="1"/>
  <c r="C1298" i="10"/>
  <c r="K4430" i="40" s="1"/>
  <c r="I1296" i="10"/>
  <c r="G5010" i="40" s="1"/>
  <c r="H1295" i="10"/>
  <c r="G1294" i="10"/>
  <c r="F1293" i="10"/>
  <c r="E1292" i="10"/>
  <c r="D1291" i="10"/>
  <c r="C1290" i="10"/>
  <c r="K4422" i="40" s="1"/>
  <c r="I1288" i="10"/>
  <c r="H1287" i="10"/>
  <c r="K4904" i="40" s="1"/>
  <c r="G1286" i="10"/>
  <c r="F1285" i="10"/>
  <c r="E1284" i="10"/>
  <c r="D1283" i="10"/>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K4447" i="40" s="1"/>
  <c r="I1313" i="10"/>
  <c r="H1312" i="10"/>
  <c r="G1311" i="10"/>
  <c r="F1310" i="10"/>
  <c r="I4733" i="40" s="1"/>
  <c r="E1309" i="10"/>
  <c r="G4635" i="40" s="1"/>
  <c r="D1308" i="10"/>
  <c r="G4537" i="40" s="1"/>
  <c r="C1307" i="10"/>
  <c r="K4439" i="40" s="1"/>
  <c r="I1305" i="10"/>
  <c r="G5019" i="40" s="1"/>
  <c r="H1304" i="10"/>
  <c r="G1303" i="10"/>
  <c r="F1302" i="10"/>
  <c r="I4725" i="40" s="1"/>
  <c r="E1301" i="10"/>
  <c r="G4627" i="40" s="1"/>
  <c r="D1300" i="10"/>
  <c r="G4529" i="40" s="1"/>
  <c r="C1299" i="10"/>
  <c r="K4431" i="40" s="1"/>
  <c r="I1297" i="10"/>
  <c r="H1296" i="10"/>
  <c r="K4913" i="40" s="1"/>
  <c r="G1295" i="10"/>
  <c r="F1294" i="10"/>
  <c r="I4717" i="40" s="1"/>
  <c r="E1293" i="10"/>
  <c r="D1292" i="10"/>
  <c r="C1291" i="10"/>
  <c r="I1289" i="10"/>
  <c r="G5003" i="40" s="1"/>
  <c r="H1288" i="10"/>
  <c r="G1287" i="10"/>
  <c r="I4807" i="40" s="1"/>
  <c r="F1286" i="10"/>
  <c r="E1285" i="10"/>
  <c r="G4611" i="40" s="1"/>
  <c r="D1284" i="10"/>
  <c r="G4513" i="40" s="1"/>
  <c r="C1283" i="10"/>
  <c r="I1281" i="10"/>
  <c r="G4995" i="40" s="1"/>
  <c r="H1280" i="10"/>
  <c r="K4897" i="40" s="1"/>
  <c r="G1279" i="10"/>
  <c r="I4799" i="40" s="1"/>
  <c r="F1278" i="10"/>
  <c r="I4701" i="40" s="1"/>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K4930" i="40" s="1"/>
  <c r="G1312" i="10"/>
  <c r="I4832" i="40" s="1"/>
  <c r="F1311" i="10"/>
  <c r="I4734" i="40" s="1"/>
  <c r="E1310" i="10"/>
  <c r="G4636" i="40" s="1"/>
  <c r="D1309" i="10"/>
  <c r="G4538" i="40" s="1"/>
  <c r="C1308" i="10"/>
  <c r="K4440" i="40" s="1"/>
  <c r="I1306" i="10"/>
  <c r="H1305" i="10"/>
  <c r="G1304" i="10"/>
  <c r="F1303" i="10"/>
  <c r="I4726" i="40" s="1"/>
  <c r="E1302" i="10"/>
  <c r="G4628" i="40" s="1"/>
  <c r="D1301" i="10"/>
  <c r="G4530" i="40" s="1"/>
  <c r="C1300" i="10"/>
  <c r="K4432" i="40" s="1"/>
  <c r="I1298" i="10"/>
  <c r="G5012" i="40" s="1"/>
  <c r="H1297" i="10"/>
  <c r="G1296" i="10"/>
  <c r="I4816" i="40" s="1"/>
  <c r="F1295" i="10"/>
  <c r="I4718" i="40" s="1"/>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I4735" i="40" s="1"/>
  <c r="E1311" i="10"/>
  <c r="D1310" i="10"/>
  <c r="C1309" i="10"/>
  <c r="K4441" i="40" s="1"/>
  <c r="I1307" i="10"/>
  <c r="G5021" i="40" s="1"/>
  <c r="H1306" i="10"/>
  <c r="K4923" i="40" s="1"/>
  <c r="G1305" i="10"/>
  <c r="I4825" i="40" s="1"/>
  <c r="F1304" i="10"/>
  <c r="I4727" i="40" s="1"/>
  <c r="E1303" i="10"/>
  <c r="G4629" i="40" s="1"/>
  <c r="D1302" i="10"/>
  <c r="C1301" i="10"/>
  <c r="K4433" i="40" s="1"/>
  <c r="I1299" i="10"/>
  <c r="G5013" i="40" s="1"/>
  <c r="H1298" i="10"/>
  <c r="K4915" i="40" s="1"/>
  <c r="G1297" i="10"/>
  <c r="I4817" i="40" s="1"/>
  <c r="F1296" i="10"/>
  <c r="I4719" i="40" s="1"/>
  <c r="E1295" i="10"/>
  <c r="G4621" i="40" s="1"/>
  <c r="D1294" i="10"/>
  <c r="G4523" i="40" s="1"/>
  <c r="C1293" i="10"/>
  <c r="I1291" i="10"/>
  <c r="H1290" i="10"/>
  <c r="G1289" i="10"/>
  <c r="I4809" i="40" s="1"/>
  <c r="F1288" i="10"/>
  <c r="I4711" i="40" s="1"/>
  <c r="E1287" i="10"/>
  <c r="G4613" i="40" s="1"/>
  <c r="D1286" i="10"/>
  <c r="C1285" i="10"/>
  <c r="K4417" i="40" s="1"/>
  <c r="I1283" i="10"/>
  <c r="H1282" i="10"/>
  <c r="G1281" i="10"/>
  <c r="I4801" i="40" s="1"/>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K4442" i="40" s="1"/>
  <c r="I1308" i="10"/>
  <c r="G5022" i="40" s="1"/>
  <c r="H1307" i="10"/>
  <c r="K4924" i="40" s="1"/>
  <c r="G1306" i="10"/>
  <c r="I4826" i="40" s="1"/>
  <c r="F1305" i="10"/>
  <c r="I4728" i="40" s="1"/>
  <c r="E1304" i="10"/>
  <c r="G4630" i="40" s="1"/>
  <c r="D1303" i="10"/>
  <c r="C1302" i="10"/>
  <c r="K4434" i="40" s="1"/>
  <c r="I1300" i="10"/>
  <c r="H1299" i="10"/>
  <c r="K4916" i="40" s="1"/>
  <c r="G1298" i="10"/>
  <c r="I4818" i="40" s="1"/>
  <c r="F1297" i="10"/>
  <c r="I4720" i="40" s="1"/>
  <c r="E1296" i="10"/>
  <c r="G4622" i="40" s="1"/>
  <c r="D1295" i="10"/>
  <c r="G4524" i="40" s="1"/>
  <c r="C1294" i="10"/>
  <c r="I1292" i="10"/>
  <c r="G5006" i="40" s="1"/>
  <c r="H1291" i="10"/>
  <c r="K4908" i="40" s="1"/>
  <c r="G1290" i="10"/>
  <c r="F1289" i="10"/>
  <c r="I4712" i="40" s="1"/>
  <c r="E1288" i="10"/>
  <c r="G4614" i="40" s="1"/>
  <c r="D1287" i="10"/>
  <c r="G4516" i="40" s="1"/>
  <c r="C1286" i="10"/>
  <c r="K4418" i="40" s="1"/>
  <c r="I1284" i="10"/>
  <c r="G4998" i="40" s="1"/>
  <c r="H1283" i="10"/>
  <c r="K4900" i="40" s="1"/>
  <c r="G1282" i="10"/>
  <c r="I4802" i="40" s="1"/>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K4443" i="40" s="1"/>
  <c r="I1309" i="10"/>
  <c r="G5023" i="40" s="1"/>
  <c r="H1308" i="10"/>
  <c r="K4925" i="40" s="1"/>
  <c r="G1307" i="10"/>
  <c r="I4827" i="40" s="1"/>
  <c r="F1306" i="10"/>
  <c r="I4729" i="40" s="1"/>
  <c r="E1305" i="10"/>
  <c r="G4631" i="40" s="1"/>
  <c r="D1304" i="10"/>
  <c r="G4533" i="40" s="1"/>
  <c r="C1303" i="10"/>
  <c r="K4435" i="40" s="1"/>
  <c r="I1301" i="10"/>
  <c r="G5015" i="40" s="1"/>
  <c r="H1300" i="10"/>
  <c r="K4917" i="40" s="1"/>
  <c r="G1299" i="10"/>
  <c r="I4819" i="40" s="1"/>
  <c r="F1298" i="10"/>
  <c r="I4721" i="40" s="1"/>
  <c r="E1297" i="10"/>
  <c r="G4623" i="40" s="1"/>
  <c r="D1296" i="10"/>
  <c r="G4525" i="40" s="1"/>
  <c r="C1295" i="10"/>
  <c r="K4427" i="40" s="1"/>
  <c r="I1293" i="10"/>
  <c r="G5007" i="40" s="1"/>
  <c r="H1292" i="10"/>
  <c r="K4909" i="40" s="1"/>
  <c r="G1291" i="10"/>
  <c r="I4811" i="40" s="1"/>
  <c r="F1290" i="10"/>
  <c r="I4713" i="40" s="1"/>
  <c r="E1289" i="10"/>
  <c r="G4615" i="40" s="1"/>
  <c r="D1288" i="10"/>
  <c r="G4517" i="40" s="1"/>
  <c r="C1287" i="10"/>
  <c r="K4419" i="40" s="1"/>
  <c r="I1285" i="10"/>
  <c r="G4999" i="40" s="1"/>
  <c r="H1284" i="10"/>
  <c r="K4901" i="40" s="1"/>
  <c r="G1283" i="10"/>
  <c r="F1282" i="10"/>
  <c r="I4705" i="40" s="1"/>
  <c r="E1281" i="10"/>
  <c r="G4607" i="40" s="1"/>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G4632" i="40" s="1"/>
  <c r="D1297" i="10"/>
  <c r="G4526" i="40" s="1"/>
  <c r="C1292" i="10"/>
  <c r="K4424" i="40" s="1"/>
  <c r="C1289" i="10"/>
  <c r="K4421" i="40" s="1"/>
  <c r="H1285" i="10"/>
  <c r="K4902" i="40" s="1"/>
  <c r="I1282" i="10"/>
  <c r="E1280" i="10"/>
  <c r="G4606" i="40" s="1"/>
  <c r="H1278" i="10"/>
  <c r="K4895" i="40" s="1"/>
  <c r="E1277" i="10"/>
  <c r="D1276" i="10"/>
  <c r="G4505" i="40" s="1"/>
  <c r="C1275" i="10"/>
  <c r="I1273" i="10"/>
  <c r="H1272" i="10"/>
  <c r="K4889" i="40" s="1"/>
  <c r="G1271" i="10"/>
  <c r="F1270" i="10"/>
  <c r="I4693" i="40" s="1"/>
  <c r="E1269" i="10"/>
  <c r="G4595" i="40" s="1"/>
  <c r="D1268" i="10"/>
  <c r="G4497" i="40" s="1"/>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G4640" i="40" s="1"/>
  <c r="D1305" i="10"/>
  <c r="G4534" i="40" s="1"/>
  <c r="C1296" i="10"/>
  <c r="K4428" i="40" s="1"/>
  <c r="F1291" i="10"/>
  <c r="G1288" i="10"/>
  <c r="G1285" i="10"/>
  <c r="I4805" i="40" s="1"/>
  <c r="E1282" i="10"/>
  <c r="G4608" i="40" s="1"/>
  <c r="C1280" i="10"/>
  <c r="K4412" i="40" s="1"/>
  <c r="G1278" i="10"/>
  <c r="I4798" i="40" s="1"/>
  <c r="D1277" i="10"/>
  <c r="G4506" i="40" s="1"/>
  <c r="C1276" i="10"/>
  <c r="K4408" i="40" s="1"/>
  <c r="I1274" i="10"/>
  <c r="H1273" i="10"/>
  <c r="K4890" i="40" s="1"/>
  <c r="G1272" i="10"/>
  <c r="F1271" i="10"/>
  <c r="I4694" i="40" s="1"/>
  <c r="E1270" i="10"/>
  <c r="G4596" i="40" s="1"/>
  <c r="D1269" i="10"/>
  <c r="G4498" i="40" s="1"/>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G4617" i="40" s="1"/>
  <c r="C1288" i="10"/>
  <c r="D1285" i="10"/>
  <c r="D1282" i="10"/>
  <c r="G4511" i="40" s="1"/>
  <c r="I1279" i="10"/>
  <c r="G4993" i="40" s="1"/>
  <c r="E1278" i="10"/>
  <c r="G4604" i="40" s="1"/>
  <c r="C1277" i="10"/>
  <c r="K4409" i="40" s="1"/>
  <c r="I1275" i="10"/>
  <c r="G4989" i="40" s="1"/>
  <c r="H1274" i="10"/>
  <c r="K4891" i="40" s="1"/>
  <c r="G1273" i="10"/>
  <c r="F1272" i="10"/>
  <c r="E1271" i="10"/>
  <c r="G4597" i="40" s="1"/>
  <c r="D1270" i="10"/>
  <c r="G4499" i="40" s="1"/>
  <c r="C1269" i="10"/>
  <c r="K4401" i="40" s="1"/>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K4444" i="40" s="1"/>
  <c r="I1302" i="10"/>
  <c r="G5016" i="40" s="1"/>
  <c r="H1293" i="10"/>
  <c r="K4910" i="40" s="1"/>
  <c r="I1290" i="10"/>
  <c r="I1287" i="10"/>
  <c r="G5001" i="40" s="1"/>
  <c r="G1284" i="10"/>
  <c r="I4804" i="40" s="1"/>
  <c r="H1281" i="10"/>
  <c r="K4898" i="40" s="1"/>
  <c r="H1279" i="10"/>
  <c r="K4896" i="40" s="1"/>
  <c r="D1278" i="10"/>
  <c r="I1276" i="10"/>
  <c r="H1275" i="10"/>
  <c r="K4892" i="40" s="1"/>
  <c r="G1274" i="10"/>
  <c r="I4794" i="40" s="1"/>
  <c r="F1273" i="10"/>
  <c r="I4696" i="40" s="1"/>
  <c r="E1272" i="10"/>
  <c r="G4598" i="40" s="1"/>
  <c r="D1271" i="10"/>
  <c r="G4500" i="40" s="1"/>
  <c r="C1270" i="10"/>
  <c r="K4402" i="40" s="1"/>
  <c r="I1268" i="10"/>
  <c r="G4982" i="40" s="1"/>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I4710" i="40" s="1"/>
  <c r="F1284" i="10"/>
  <c r="I4707" i="40" s="1"/>
  <c r="D1281" i="10"/>
  <c r="G4510" i="40" s="1"/>
  <c r="F1279" i="10"/>
  <c r="C1278" i="10"/>
  <c r="K4410" i="40" s="1"/>
  <c r="H1276" i="10"/>
  <c r="K4893" i="40" s="1"/>
  <c r="G1275" i="10"/>
  <c r="I4795" i="40" s="1"/>
  <c r="F1274" i="10"/>
  <c r="I4697" i="40" s="1"/>
  <c r="E1273" i="10"/>
  <c r="G4599" i="40" s="1"/>
  <c r="D1272" i="10"/>
  <c r="G4501" i="40" s="1"/>
  <c r="C1271" i="10"/>
  <c r="K4403" i="40" s="1"/>
  <c r="I1269" i="10"/>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G4605" i="40" s="1"/>
  <c r="H1277" i="10"/>
  <c r="G1276" i="10"/>
  <c r="I4796" i="40" s="1"/>
  <c r="F1275" i="10"/>
  <c r="I4698" i="40" s="1"/>
  <c r="E1274" i="10"/>
  <c r="G4600" i="40" s="1"/>
  <c r="D1273" i="10"/>
  <c r="G4502" i="40" s="1"/>
  <c r="C1272" i="10"/>
  <c r="K4404" i="40" s="1"/>
  <c r="I1270" i="10"/>
  <c r="G4984" i="40" s="1"/>
  <c r="H1269" i="10"/>
  <c r="K4886" i="40" s="1"/>
  <c r="G1268" i="10"/>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I4722" i="40" s="1"/>
  <c r="G1292" i="10"/>
  <c r="H1289" i="10"/>
  <c r="H1286" i="10"/>
  <c r="K4903" i="40" s="1"/>
  <c r="F1283" i="10"/>
  <c r="I4706" i="40" s="1"/>
  <c r="G1280" i="10"/>
  <c r="I4800" i="40" s="1"/>
  <c r="D1279" i="10"/>
  <c r="G4508" i="40" s="1"/>
  <c r="G1277" i="10"/>
  <c r="I4797" i="40" s="1"/>
  <c r="F1276" i="10"/>
  <c r="I4699" i="40" s="1"/>
  <c r="E1275" i="10"/>
  <c r="G4601" i="40" s="1"/>
  <c r="D1274" i="10"/>
  <c r="G4503" i="40" s="1"/>
  <c r="C1273" i="10"/>
  <c r="K4405" i="40" s="1"/>
  <c r="I1271" i="10"/>
  <c r="G4985" i="40" s="1"/>
  <c r="H1270" i="10"/>
  <c r="K4887" i="40" s="1"/>
  <c r="G1269" i="10"/>
  <c r="I4789" i="40" s="1"/>
  <c r="F1268" i="10"/>
  <c r="I4691" i="40" s="1"/>
  <c r="E1267" i="10"/>
  <c r="G4593" i="40" s="1"/>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I4836" i="40" s="1"/>
  <c r="F1307" i="10"/>
  <c r="E1298" i="10"/>
  <c r="G4624" i="40" s="1"/>
  <c r="F1292" i="10"/>
  <c r="D1289" i="10"/>
  <c r="E1286" i="10"/>
  <c r="E1283" i="10"/>
  <c r="G4609" i="40" s="1"/>
  <c r="F1280" i="10"/>
  <c r="I4703" i="40" s="1"/>
  <c r="I1278" i="10"/>
  <c r="G4992" i="40" s="1"/>
  <c r="F1277" i="10"/>
  <c r="I4700" i="40" s="1"/>
  <c r="E1276" i="10"/>
  <c r="G4602" i="40" s="1"/>
  <c r="D1267" i="10"/>
  <c r="G4496" i="40" s="1"/>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G4986" i="40" s="1"/>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J8477" i="40"/>
  <c r="AK23" i="8"/>
  <c r="AK39" i="8"/>
  <c r="K4448" i="40"/>
  <c r="I4791" i="40"/>
  <c r="I4695" i="40"/>
  <c r="I4792" i="40"/>
  <c r="I4793" i="40"/>
  <c r="G4987" i="40"/>
  <c r="G4988" i="40"/>
  <c r="K4407" i="40"/>
  <c r="G4990" i="40"/>
  <c r="G4603" i="40"/>
  <c r="K4894" i="40"/>
  <c r="G4507" i="40"/>
  <c r="I4702" i="40"/>
  <c r="I4704" i="40"/>
  <c r="K4899" i="40"/>
  <c r="G4996" i="40"/>
  <c r="K4415" i="40"/>
  <c r="G4512" i="40"/>
  <c r="I4803" i="40"/>
  <c r="G4997" i="40"/>
  <c r="G4610" i="40"/>
  <c r="G4514" i="40"/>
  <c r="I4708" i="40"/>
  <c r="G4515" i="40"/>
  <c r="G4612" i="40"/>
  <c r="I4709" i="40"/>
  <c r="I4806" i="40"/>
  <c r="K4420" i="40"/>
  <c r="I4808" i="40"/>
  <c r="K4905" i="40"/>
  <c r="G5002" i="40"/>
  <c r="G4518" i="40"/>
  <c r="K4906" i="40"/>
  <c r="I4810" i="40"/>
  <c r="K4907" i="40"/>
  <c r="G5004" i="40"/>
  <c r="K4423" i="40"/>
  <c r="G4520" i="40"/>
  <c r="I4714" i="40"/>
  <c r="G5005" i="40"/>
  <c r="G4521" i="40"/>
  <c r="G4618" i="40"/>
  <c r="I4715" i="40"/>
  <c r="I4812" i="40"/>
  <c r="K4425" i="40"/>
  <c r="G4619" i="40"/>
  <c r="I4716" i="40"/>
  <c r="K4426" i="40"/>
  <c r="G4620" i="40"/>
  <c r="I4814" i="40"/>
  <c r="I4815" i="40"/>
  <c r="K4912" i="40"/>
  <c r="K4429" i="40"/>
  <c r="K4914" i="40"/>
  <c r="G5011" i="40"/>
  <c r="G4625" i="40"/>
  <c r="I4723" i="40"/>
  <c r="G5014" i="40"/>
  <c r="G4531" i="40"/>
  <c r="K4919" i="40"/>
  <c r="G4532" i="40"/>
  <c r="I4823" i="40"/>
  <c r="K4920" i="40"/>
  <c r="I4824" i="40"/>
  <c r="K4921" i="40"/>
  <c r="G5018" i="40"/>
  <c r="K4437" i="40"/>
  <c r="K4922" i="40"/>
  <c r="G5020" i="40"/>
  <c r="G4633" i="40"/>
  <c r="I4730" i="40"/>
  <c r="I4731" i="40"/>
  <c r="I4829" i="40"/>
  <c r="G4539" i="40"/>
  <c r="I4830" i="40"/>
  <c r="G4637" i="40"/>
  <c r="I4831" i="40"/>
  <c r="G4638" i="40"/>
  <c r="K4929" i="40"/>
  <c r="G5027" i="40"/>
  <c r="K4446" i="40"/>
  <c r="G5028" i="40"/>
  <c r="G4545" i="40"/>
  <c r="K4884" i="40"/>
  <c r="G4981" i="40"/>
  <c r="K4400" i="40"/>
  <c r="I4788" i="40"/>
  <c r="G4983" i="40"/>
  <c r="AK27" i="8" l="1"/>
  <c r="AK28" i="8"/>
  <c r="AK29" i="8"/>
  <c r="J8467" i="40"/>
  <c r="J8475" i="40"/>
  <c r="J8463" i="40"/>
  <c r="AK25" i="8"/>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<sst xmlns="http://schemas.openxmlformats.org/spreadsheetml/2006/main" count="65945" uniqueCount="2432">
  <si>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</si>
  <si>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</si>
  <si>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</si>
  <si>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</si>
  <si>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</si>
  <si>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</si>
  <si>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</si>
  <si>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</si>
  <si>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</si>
  <si>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</si>
  <si>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</si>
  <si>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</si>
  <si>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</si>
  <si>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</si>
  <si>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</si>
  <si>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</si>
  <si>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</si>
  <si>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</si>
  <si>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</si>
  <si>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</si>
  <si>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</si>
  <si>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</si>
  <si>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</si>
  <si>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</si>
  <si>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</si>
  <si>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</si>
  <si>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</si>
  <si>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</si>
  <si>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</si>
  <si>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</si>
  <si>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</si>
  <si>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</si>
  <si>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</si>
  <si>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</si>
  <si>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</si>
  <si>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</si>
  <si>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</si>
  <si>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</si>
  <si>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</si>
  <si>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</si>
  <si>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</si>
  <si>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</si>
  <si>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</si>
  <si>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</si>
  <si>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</si>
  <si>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</si>
  <si>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</si>
  <si>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</si>
  <si>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</si>
  <si>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</si>
  <si>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</si>
  <si>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</si>
  <si>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</si>
  <si>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</si>
  <si>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</si>
  <si>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</si>
  <si>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</si>
  <si>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</si>
  <si>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</si>
  <si>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</si>
  <si>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</si>
  <si>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</si>
  <si>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</si>
  <si>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</si>
  <si>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</si>
  <si>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</si>
  <si>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</si>
  <si>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</si>
  <si>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</si>
  <si>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</si>
  <si>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</si>
  <si>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</si>
  <si>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</si>
  <si>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</si>
  <si>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</si>
  <si>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</si>
  <si>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</si>
  <si>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</si>
  <si>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</si>
  <si>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</si>
  <si>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</si>
  <si>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</si>
  <si>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</si>
  <si>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</si>
  <si>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</si>
  <si>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</si>
  <si>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</si>
  <si>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</si>
  <si>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</si>
  <si>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</si>
  <si>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</si>
  <si>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</si>
  <si>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</si>
  <si>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</si>
  <si>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</si>
  <si>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</si>
  <si>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</si>
  <si>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</si>
  <si>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</si>
  <si>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</si>
  <si>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</si>
  <si>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</si>
  <si>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</si>
  <si>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</si>
  <si>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</si>
  <si>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</si>
  <si>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</si>
  <si>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</si>
  <si>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</si>
  <si>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</si>
  <si>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</si>
  <si>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</si>
  <si>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</si>
  <si>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</si>
  <si>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</si>
  <si>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</si>
  <si>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</si>
  <si>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</si>
  <si>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</si>
  <si>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</si>
  <si>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</si>
  <si>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</si>
  <si>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</si>
  <si>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</si>
  <si>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</si>
  <si>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</si>
  <si>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</si>
  <si>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</si>
  <si>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</si>
  <si>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</si>
  <si>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</si>
  <si>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</si>
  <si>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</si>
  <si>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</si>
  <si>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</si>
  <si>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</si>
  <si>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</si>
  <si>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</si>
  <si>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</si>
  <si>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</si>
  <si>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</si>
  <si>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</si>
  <si>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</si>
  <si>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</si>
  <si>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</si>
  <si>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</si>
  <si>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</si>
  <si>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</si>
  <si>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</si>
  <si>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</si>
  <si>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</si>
  <si>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</si>
  <si>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</si>
  <si>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</si>
  <si>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</si>
  <si>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</si>
  <si>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</si>
  <si>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</si>
  <si>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</si>
  <si>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</si>
  <si>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</si>
  <si>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</si>
  <si>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</si>
  <si>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</si>
  <si>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</si>
  <si>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</si>
  <si>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</si>
  <si>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</si>
  <si>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</si>
  <si>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</si>
  <si>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</si>
  <si>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</si>
  <si>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</si>
  <si>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</si>
  <si>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</si>
  <si>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</si>
  <si>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</si>
  <si>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</si>
  <si>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</si>
  <si>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</si>
  <si>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</si>
  <si>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</si>
  <si>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</si>
  <si>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</si>
  <si>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</si>
  <si>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</si>
  <si>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</si>
  <si>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</si>
  <si>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</si>
  <si>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</si>
  <si>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</si>
  <si>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</si>
  <si>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</si>
  <si>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</si>
  <si>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</si>
  <si>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</si>
  <si>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</si>
  <si>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</si>
  <si>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</si>
  <si>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</si>
  <si>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</si>
  <si>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</si>
  <si>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</si>
  <si>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</si>
  <si>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</si>
  <si>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</si>
  <si>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</si>
  <si>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</si>
  <si>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</si>
  <si>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</si>
  <si>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</si>
  <si>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</si>
  <si>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</si>
  <si>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</si>
  <si>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</si>
  <si>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</si>
  <si>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</si>
  <si>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</si>
  <si>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</si>
  <si>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</si>
  <si>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</si>
  <si>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</si>
  <si>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</si>
  <si>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</si>
  <si>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</si>
  <si>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</si>
  <si>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</si>
  <si>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</si>
  <si>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</si>
  <si>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</si>
  <si>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</si>
  <si>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</si>
  <si>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</si>
  <si>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</si>
  <si>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</si>
  <si>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</si>
  <si>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</si>
  <si>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</si>
  <si>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</si>
  <si>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</si>
  <si>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</si>
  <si>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</si>
  <si>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</si>
  <si>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</si>
  <si>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</si>
  <si>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</si>
  <si>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</si>
  <si>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</si>
  <si>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</si>
  <si>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</si>
  <si>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</si>
  <si>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</si>
  <si>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</si>
  <si>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</si>
  <si>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</si>
  <si>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</si>
  <si>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</si>
  <si>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</si>
  <si>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</si>
  <si>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</si>
  <si>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</si>
  <si>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</si>
  <si>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</si>
  <si>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</si>
  <si>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</si>
  <si>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</si>
  <si>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</si>
  <si>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</si>
  <si>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</si>
  <si>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</si>
  <si>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</si>
  <si>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</si>
  <si>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</si>
  <si>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</si>
  <si>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</si>
  <si>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</si>
  <si>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</si>
  <si>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</si>
  <si>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</si>
  <si>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</si>
  <si>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</si>
  <si>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</si>
  <si>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</si>
  <si>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</si>
  <si>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</si>
  <si>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</si>
  <si>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</si>
  <si>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</si>
  <si>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</si>
  <si>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</si>
  <si>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</si>
  <si>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</si>
  <si>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</si>
  <si>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</si>
  <si>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</si>
  <si>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</si>
  <si>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</si>
  <si>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</si>
  <si>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</si>
  <si>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</si>
  <si>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</si>
  <si>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</si>
  <si>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</si>
  <si>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</si>
  <si>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</si>
  <si>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</si>
  <si>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</si>
  <si>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</si>
  <si>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</si>
  <si>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</si>
  <si>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</si>
  <si>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</si>
  <si>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</si>
  <si>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</si>
  <si>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</si>
  <si>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</si>
  <si>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</si>
  <si>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</si>
  <si>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</si>
  <si>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</si>
  <si>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</si>
  <si>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</si>
  <si>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</si>
  <si>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</si>
  <si>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</si>
  <si>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</si>
  <si>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</si>
  <si>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</si>
  <si>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</si>
  <si>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</si>
  <si>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</si>
  <si>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</si>
  <si>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</si>
  <si>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</si>
  <si>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</si>
  <si>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</si>
  <si>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</si>
  <si>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</si>
  <si>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</si>
  <si>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</si>
  <si>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</si>
  <si>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</si>
  <si>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</si>
  <si>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</si>
  <si>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</si>
  <si>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</si>
  <si>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</si>
  <si>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</si>
  <si>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</si>
  <si>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</si>
  <si>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</si>
  <si>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</si>
  <si>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</si>
  <si>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</si>
  <si>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</si>
  <si>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</si>
  <si>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</si>
  <si>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</si>
  <si>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</si>
  <si>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</si>
  <si>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</si>
  <si>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</si>
  <si>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</si>
  <si>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</si>
  <si>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</si>
  <si>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</si>
  <si>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</si>
  <si>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</si>
  <si>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</si>
  <si>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</si>
  <si>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</si>
  <si>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</si>
  <si>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</si>
  <si>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</si>
  <si>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</si>
  <si>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</si>
  <si>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</si>
  <si>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</si>
  <si>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</si>
  <si>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</si>
  <si>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</si>
  <si>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</si>
  <si>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</si>
  <si>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</si>
  <si>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</si>
  <si>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</si>
  <si>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</si>
  <si>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</si>
  <si>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</si>
  <si>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</si>
  <si>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</si>
  <si>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</si>
  <si>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</si>
  <si>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</si>
  <si>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</si>
  <si>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</si>
  <si>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</si>
  <si>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</si>
  <si>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</si>
  <si>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</si>
  <si>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</si>
  <si>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</si>
  <si>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</si>
  <si>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</si>
  <si>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</si>
  <si>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</si>
  <si>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</si>
  <si>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</si>
  <si>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</si>
  <si>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</si>
  <si>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</si>
  <si>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</si>
  <si>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</si>
  <si>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</si>
  <si>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</si>
  <si>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</si>
  <si>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</si>
  <si>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</si>
  <si>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</si>
  <si>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</si>
  <si>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</si>
  <si>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</si>
  <si>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</si>
  <si>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</si>
  <si>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</si>
  <si>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</si>
  <si>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</si>
  <si>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</si>
  <si>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</si>
  <si>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</si>
  <si>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</si>
  <si>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</si>
  <si>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</si>
  <si>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</si>
  <si>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</si>
  <si>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</si>
  <si>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</si>
  <si>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</si>
  <si>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</si>
  <si>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</si>
  <si>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</si>
  <si>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</si>
  <si>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</si>
  <si>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</si>
  <si>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</si>
  <si>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</si>
  <si>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</si>
  <si>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</si>
  <si>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</si>
  <si>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</si>
  <si>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</si>
  <si>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</si>
  <si>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</si>
  <si>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</si>
  <si>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</si>
  <si>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</si>
  <si>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</si>
  <si>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</si>
  <si>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</si>
  <si>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</si>
  <si>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</si>
  <si>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</si>
  <si>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</si>
  <si>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</si>
  <si>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</si>
  <si>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</si>
  <si>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</si>
  <si>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</si>
  <si>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</si>
  <si>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</si>
  <si>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</si>
  <si>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</si>
  <si>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</si>
  <si>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</si>
  <si>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</si>
  <si>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</si>
  <si>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</si>
  <si>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</si>
  <si>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</si>
  <si>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</si>
  <si>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</si>
  <si>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</si>
  <si>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</si>
  <si>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</si>
  <si>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</si>
  <si>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</si>
  <si>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</si>
  <si>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</si>
  <si>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</si>
  <si>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</si>
  <si>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</si>
  <si>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</si>
  <si>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</si>
  <si>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</si>
  <si>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</si>
  <si>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</si>
  <si>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</si>
  <si>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</si>
  <si>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</si>
  <si>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</si>
  <si>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</si>
  <si>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</si>
  <si>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</si>
  <si>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</si>
  <si>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</si>
  <si>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</si>
  <si>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</si>
  <si>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</si>
  <si>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</si>
  <si>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</si>
  <si>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</si>
  <si>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</si>
  <si>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</si>
  <si>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</si>
  <si>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</si>
  <si>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</si>
  <si>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</si>
  <si>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</si>
  <si>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</si>
  <si>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</si>
  <si>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</si>
  <si>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</si>
  <si>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</si>
  <si>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</si>
  <si>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</si>
  <si>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</si>
  <si>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</si>
  <si>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</si>
  <si>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</si>
  <si>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</si>
  <si>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</si>
  <si>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</si>
  <si>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</si>
  <si>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</si>
  <si>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</si>
  <si>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</si>
  <si>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</si>
  <si>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</si>
  <si>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</si>
  <si>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</si>
  <si>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</si>
  <si>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</si>
  <si>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</si>
  <si>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</si>
  <si>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</si>
  <si>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</si>
  <si>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</si>
  <si>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</si>
  <si>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</si>
  <si>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</si>
  <si>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</si>
  <si>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</si>
  <si>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</si>
  <si>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</si>
  <si>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</si>
  <si>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</si>
  <si>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</si>
  <si>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</si>
  <si>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</si>
  <si>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</si>
  <si>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</si>
  <si>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</si>
  <si>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</si>
  <si>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</si>
  <si>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</si>
  <si>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</si>
  <si>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</si>
  <si>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</si>
  <si>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</si>
  <si>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</si>
  <si>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</si>
  <si>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</si>
  <si>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</si>
  <si>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</si>
  <si>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</si>
  <si>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</si>
  <si>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</si>
  <si>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</si>
  <si>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</si>
  <si>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</si>
  <si>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</si>
  <si>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</si>
  <si>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</si>
  <si>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</si>
  <si>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</si>
  <si>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</si>
  <si>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</si>
  <si>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</si>
  <si>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</si>
  <si>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</si>
  <si>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</si>
  <si>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</si>
  <si>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</si>
  <si>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</si>
  <si>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</si>
  <si>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</si>
  <si>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</si>
  <si>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</si>
  <si>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</si>
  <si>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</si>
  <si>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</si>
  <si>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</si>
  <si>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</si>
  <si>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</si>
  <si>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</si>
  <si>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</si>
  <si>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</si>
  <si>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</si>
  <si>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</si>
  <si>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</si>
  <si>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</si>
  <si>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</si>
  <si>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</si>
  <si>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</si>
  <si>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</si>
  <si>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</si>
  <si>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</si>
  <si>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</si>
  <si>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</si>
  <si>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</si>
  <si>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</si>
  <si>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</si>
  <si>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</si>
  <si>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</si>
  <si>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</si>
  <si>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</si>
  <si>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</si>
  <si>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</si>
  <si>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</si>
  <si>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</si>
  <si>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</si>
  <si>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</si>
  <si>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</si>
  <si>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</si>
  <si>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</si>
  <si>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</si>
  <si>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</si>
  <si>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</si>
  <si>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</si>
  <si>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</si>
  <si>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</si>
  <si>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</si>
  <si>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</si>
  <si>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</si>
  <si>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</si>
  <si>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</si>
  <si>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</si>
  <si>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</si>
  <si>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</si>
  <si>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</si>
  <si>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</si>
  <si>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</si>
  <si>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</si>
  <si>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</si>
  <si>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</si>
  <si>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</si>
  <si>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</si>
  <si>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</si>
  <si>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</si>
  <si>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</si>
  <si>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</si>
  <si>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</si>
  <si>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</si>
  <si>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</si>
  <si>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</si>
  <si>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</si>
  <si>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</si>
  <si>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</si>
  <si>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</si>
  <si>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</si>
  <si>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</si>
  <si>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</si>
  <si>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</si>
  <si>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</si>
  <si>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</si>
  <si>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</si>
  <si>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</si>
  <si>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</si>
  <si>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</si>
  <si>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</si>
  <si>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</si>
  <si>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</si>
  <si>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</si>
  <si>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</si>
  <si>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</si>
  <si>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</si>
  <si>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</si>
  <si>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</si>
  <si>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</si>
  <si>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</si>
  <si>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</si>
  <si>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</si>
  <si>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</si>
  <si>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</si>
  <si>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</si>
  <si>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</si>
  <si>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</si>
  <si>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</si>
  <si>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</si>
  <si>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</si>
  <si>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</si>
  <si>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</si>
  <si>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</si>
  <si>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</si>
  <si>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</si>
  <si>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</si>
  <si>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</si>
  <si>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</si>
  <si>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</si>
  <si>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</si>
  <si>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</si>
  <si>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</si>
  <si>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</si>
  <si>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</si>
  <si>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</si>
  <si>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</si>
  <si>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</si>
  <si>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</si>
  <si>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</si>
  <si>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</si>
  <si>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</si>
  <si>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</si>
  <si>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</si>
  <si>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</si>
  <si>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</si>
  <si>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</si>
  <si>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</si>
  <si>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</si>
  <si>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</si>
  <si>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</si>
  <si>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</si>
  <si>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</si>
  <si>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</si>
  <si>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</si>
  <si>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</si>
  <si>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</si>
  <si>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</si>
  <si>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</si>
  <si>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</si>
  <si>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</si>
  <si>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</si>
  <si>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</si>
  <si>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</si>
  <si>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</si>
  <si>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</si>
  <si>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</si>
  <si>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</si>
  <si>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</si>
  <si>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</si>
  <si>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</si>
  <si>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</si>
  <si>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</si>
  <si>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</si>
  <si>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</si>
  <si>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</si>
  <si>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</si>
  <si>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</si>
  <si>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</si>
  <si>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</si>
  <si>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</si>
  <si>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</si>
  <si>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</si>
  <si>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</si>
  <si>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</si>
  <si>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</si>
  <si>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</si>
  <si>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</si>
  <si>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</si>
  <si>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</si>
  <si>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</si>
  <si>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</si>
  <si>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</si>
  <si>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</si>
  <si>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</si>
  <si>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</si>
  <si>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</si>
  <si>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</si>
  <si>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</si>
  <si>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</si>
  <si>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</si>
  <si>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</si>
  <si>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</si>
  <si>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</si>
  <si>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</si>
  <si>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</si>
  <si>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</si>
  <si>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</si>
  <si>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</si>
  <si>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</si>
  <si>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</si>
  <si>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</si>
  <si>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</si>
  <si>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</si>
  <si>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</si>
  <si>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</si>
  <si>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</si>
  <si>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</si>
  <si>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</si>
  <si>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</si>
  <si>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</si>
  <si>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</si>
  <si>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</si>
  <si>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</si>
  <si>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</si>
  <si>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</si>
  <si>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</si>
  <si>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</si>
  <si>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</si>
  <si>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</si>
  <si>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</si>
  <si>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</si>
  <si>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</si>
  <si>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</si>
  <si>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</si>
  <si>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</si>
  <si>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</si>
  <si>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</si>
  <si>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</si>
  <si>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</si>
  <si>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</si>
  <si>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</si>
  <si>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</si>
  <si>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</si>
  <si>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</si>
  <si>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</si>
  <si>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</si>
  <si>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</si>
  <si>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</si>
  <si>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</si>
  <si>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</si>
  <si>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</si>
  <si>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</si>
  <si>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</si>
  <si>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</si>
  <si>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</si>
  <si>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</si>
  <si>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</si>
  <si>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</si>
  <si>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</si>
  <si>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</si>
  <si>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</si>
  <si>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</si>
  <si>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</si>
  <si>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</si>
  <si>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</si>
  <si>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</si>
  <si>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</si>
  <si>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</si>
  <si>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</si>
  <si>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</si>
  <si>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</si>
  <si>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</si>
  <si>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</si>
  <si>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</si>
  <si>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</si>
  <si>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</si>
  <si>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</si>
  <si>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</si>
  <si>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</si>
  <si>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</si>
  <si>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</si>
  <si>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</si>
  <si>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</si>
  <si>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</si>
  <si>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</si>
  <si>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</si>
  <si>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</si>
  <si>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</si>
  <si>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</si>
  <si>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</si>
  <si>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</si>
  <si>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</si>
  <si>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</si>
  <si>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</si>
  <si>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</si>
  <si>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</si>
  <si>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</si>
  <si>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</si>
  <si>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</si>
  <si>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</si>
  <si>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</si>
  <si>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</si>
  <si>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</si>
  <si>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</si>
  <si>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</si>
  <si>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</si>
  <si>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</si>
  <si>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</si>
  <si>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</si>
  <si>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</si>
  <si>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</si>
  <si>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</si>
  <si>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</si>
  <si>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</si>
  <si>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</si>
  <si>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</si>
  <si>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</si>
  <si>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</si>
  <si>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</si>
  <si>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</si>
  <si>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</si>
  <si>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</si>
  <si>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</si>
  <si>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</si>
  <si>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</si>
  <si>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</si>
  <si>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</si>
  <si>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</si>
  <si>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</si>
  <si>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</si>
  <si>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</si>
  <si>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</si>
  <si>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</si>
  <si>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</si>
  <si>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</si>
  <si>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</si>
  <si>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</si>
  <si>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</si>
  <si>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</si>
  <si>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</si>
  <si>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</si>
  <si>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</si>
  <si>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</si>
  <si>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</si>
  <si>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</si>
  <si>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</si>
  <si>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</si>
  <si>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</si>
  <si>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</si>
  <si>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</si>
  <si>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</si>
  <si>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</si>
  <si>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</si>
  <si>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</si>
  <si>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</si>
  <si>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</si>
  <si>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</si>
  <si>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</si>
  <si>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</si>
  <si>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</si>
  <si>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</si>
  <si>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</si>
  <si>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</si>
  <si>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</si>
  <si>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</si>
  <si>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</si>
  <si>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</si>
  <si>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</si>
  <si>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</si>
  <si>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</si>
  <si>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</si>
  <si>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</si>
  <si>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</si>
  <si>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</si>
  <si>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</si>
  <si>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</si>
  <si>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</si>
  <si>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</si>
  <si>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</si>
  <si>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</si>
  <si>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</si>
  <si>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</si>
  <si>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</si>
  <si>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</si>
  <si>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</si>
  <si>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</si>
  <si>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</si>
  <si>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</si>
  <si>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</si>
  <si>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</si>
  <si>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</si>
  <si>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</si>
  <si>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</si>
  <si>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</si>
  <si>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</si>
  <si>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</si>
  <si>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</si>
  <si>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</si>
  <si>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</si>
  <si>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</si>
  <si>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</si>
  <si>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</si>
  <si>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</si>
  <si>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</si>
  <si>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</si>
  <si>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</si>
  <si>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</si>
  <si>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</si>
  <si>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</si>
  <si>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</si>
  <si>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</si>
  <si>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</si>
  <si>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</si>
  <si>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</si>
  <si>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</si>
  <si>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</si>
  <si>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</si>
  <si>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</si>
  <si>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</si>
  <si>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</si>
  <si>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</si>
  <si>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</si>
  <si>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</si>
  <si>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</si>
  <si>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</si>
  <si>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</si>
  <si>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</si>
  <si>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</si>
  <si>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</si>
  <si>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</si>
  <si>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</si>
  <si>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</si>
  <si>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</si>
  <si>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</si>
  <si>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</si>
  <si>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</si>
  <si>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</si>
  <si>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</si>
  <si>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</si>
  <si>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</si>
  <si>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</si>
  <si>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</si>
  <si>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</si>
  <si>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</si>
  <si>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</si>
  <si>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</si>
  <si>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</si>
  <si>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</si>
  <si>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</si>
  <si>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</si>
  <si>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</si>
  <si>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</si>
  <si>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</si>
  <si>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</si>
  <si>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</si>
  <si>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</si>
  <si>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</si>
  <si>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</si>
  <si>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</si>
  <si>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</si>
  <si>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</si>
  <si>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</si>
  <si>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</si>
  <si>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</si>
  <si>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</si>
  <si>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</si>
  <si>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</si>
  <si>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</si>
  <si>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</si>
  <si>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</si>
  <si>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</si>
  <si>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</si>
  <si>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</si>
  <si>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</si>
  <si>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</si>
  <si>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</si>
  <si>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</si>
  <si>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</si>
  <si>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</si>
  <si>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</si>
  <si>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</si>
  <si>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</si>
  <si>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</si>
  <si>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</si>
  <si>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</si>
  <si>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</si>
  <si>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</si>
  <si>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</si>
  <si>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</si>
  <si>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</si>
  <si>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</si>
  <si>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</si>
  <si>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</si>
  <si>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</si>
  <si>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</si>
  <si>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</si>
  <si>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</si>
  <si>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</si>
  <si>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</si>
  <si>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</si>
  <si>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</si>
  <si>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</si>
  <si>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</si>
  <si>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</si>
  <si>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</si>
  <si>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</si>
  <si>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</si>
  <si>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</si>
  <si>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</si>
  <si>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</si>
  <si>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</si>
  <si>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</si>
  <si>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</si>
  <si>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</si>
  <si>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</si>
  <si>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</si>
  <si>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</si>
  <si>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</si>
  <si>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</si>
  <si>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</si>
  <si>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</si>
  <si>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</si>
  <si>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</si>
  <si>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</si>
  <si>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</si>
  <si>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</si>
  <si>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</si>
  <si>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</si>
  <si>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</si>
  <si>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</si>
  <si>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</si>
  <si>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</si>
  <si>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</si>
  <si>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</si>
  <si>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</si>
  <si>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</si>
  <si>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</si>
  <si>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</si>
  <si>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</si>
  <si>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</si>
  <si>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</si>
  <si>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</si>
  <si>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</si>
  <si>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</si>
  <si>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</si>
  <si>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</si>
  <si>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</si>
  <si>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</si>
  <si>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</si>
  <si>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</si>
  <si>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</si>
  <si>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</si>
  <si>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</si>
  <si>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</si>
  <si>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</si>
  <si>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</si>
  <si>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</si>
  <si>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</si>
  <si>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</si>
  <si>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</si>
  <si>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</si>
  <si>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</si>
  <si>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</si>
  <si>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</si>
  <si>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</si>
  <si>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</si>
  <si>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</si>
  <si>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</si>
  <si>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</si>
  <si>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</si>
  <si>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</si>
  <si>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</si>
  <si>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</si>
  <si>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</si>
  <si>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</si>
  <si>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</si>
  <si>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</si>
  <si>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</si>
  <si>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</si>
  <si>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</si>
  <si>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</si>
  <si>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</si>
  <si>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</si>
  <si>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</si>
  <si>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</si>
  <si>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</si>
  <si>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</si>
  <si>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</si>
  <si>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</si>
  <si>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</si>
  <si>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</si>
  <si>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</si>
  <si>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</si>
  <si>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</si>
  <si>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</si>
  <si>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</si>
  <si>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</si>
  <si>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</si>
  <si>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</si>
  <si>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</si>
  <si>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</si>
  <si>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</si>
  <si>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</si>
  <si>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</si>
  <si>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</si>
  <si>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</si>
  <si>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</si>
  <si>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</si>
  <si>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</si>
  <si>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</si>
  <si>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</si>
  <si>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</si>
  <si>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</si>
  <si>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</si>
  <si>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</si>
  <si>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</si>
  <si>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</si>
  <si>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</si>
  <si>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</si>
  <si>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</si>
  <si>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</si>
  <si>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</si>
  <si>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</si>
  <si>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</si>
  <si>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</si>
  <si>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</si>
  <si>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</si>
  <si>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</si>
  <si>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</si>
  <si>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</si>
  <si>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</si>
  <si>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</si>
  <si>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</si>
  <si>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</si>
  <si>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</si>
  <si>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</si>
  <si>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</si>
  <si>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</si>
  <si>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</si>
  <si>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</si>
  <si>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</si>
  <si>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</si>
  <si>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</si>
  <si>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</si>
  <si>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</si>
  <si>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</si>
  <si>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</si>
  <si>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</si>
  <si>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</si>
  <si>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</si>
  <si>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</si>
  <si>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</si>
  <si>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</si>
  <si>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</si>
  <si>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</si>
  <si>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</si>
  <si>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</si>
  <si>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</si>
  <si>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</si>
  <si>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</si>
  <si>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</si>
  <si>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</si>
  <si>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</si>
  <si>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</si>
  <si>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</si>
  <si>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</si>
  <si>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</si>
  <si>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</si>
  <si>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</si>
  <si>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</si>
  <si>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</si>
  <si>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</si>
  <si>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</si>
  <si>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</si>
  <si>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</si>
  <si>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</si>
  <si>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</si>
  <si>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</si>
  <si>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</si>
  <si>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</si>
  <si>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</si>
  <si>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</si>
  <si>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</si>
  <si>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</si>
  <si>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</si>
  <si>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</si>
  <si>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</si>
  <si>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</si>
  <si>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</si>
  <si>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</si>
  <si>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</si>
  <si>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</si>
  <si>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</si>
  <si>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</si>
  <si>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</si>
  <si>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</si>
  <si>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</si>
  <si>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</si>
  <si>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</si>
  <si>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</si>
  <si>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</si>
  <si>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</si>
  <si>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</si>
  <si>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</si>
  <si>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</si>
  <si>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</si>
  <si>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</si>
  <si>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</si>
  <si>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</si>
  <si>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</si>
  <si>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</si>
  <si>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</si>
  <si>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</si>
  <si>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</si>
  <si>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</si>
  <si>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</si>
  <si>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</si>
  <si>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</si>
  <si>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</si>
  <si>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</si>
  <si>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</si>
  <si>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</si>
  <si>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</si>
  <si>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</si>
  <si>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</si>
  <si>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</si>
  <si>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</si>
  <si>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</si>
  <si>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</si>
  <si>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</si>
  <si>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</si>
  <si>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</si>
  <si>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</si>
  <si>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</si>
  <si>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</si>
  <si>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</si>
  <si>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</si>
  <si>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</si>
  <si>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</si>
  <si>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</si>
  <si>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</si>
  <si>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</si>
  <si>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</si>
  <si>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</si>
  <si>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</si>
  <si>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</si>
  <si>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</si>
  <si>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</si>
  <si>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</si>
  <si>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</si>
  <si>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</si>
  <si>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</si>
  <si>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</si>
  <si>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</si>
  <si>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</si>
  <si>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</si>
  <si>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</si>
  <si>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</si>
  <si>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</si>
  <si>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</si>
  <si>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</si>
  <si>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</si>
  <si>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</si>
  <si>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</si>
  <si>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</si>
  <si>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</si>
  <si>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</si>
  <si>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</si>
  <si>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</si>
  <si>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</si>
  <si>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</si>
  <si>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</si>
  <si>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</si>
  <si>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</si>
  <si>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</si>
  <si>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</si>
  <si>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</si>
  <si>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</si>
  <si>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</si>
  <si>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</si>
  <si>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</si>
  <si>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</si>
  <si>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</si>
  <si>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</si>
  <si>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</si>
  <si>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</si>
  <si>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</si>
  <si>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</si>
  <si>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</si>
  <si>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</si>
  <si>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</si>
  <si>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</si>
  <si>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</si>
  <si>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</si>
  <si>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</si>
  <si>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</si>
  <si>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</si>
  <si>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</si>
  <si>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</si>
  <si>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</si>
  <si>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</si>
  <si>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</si>
  <si>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</si>
  <si>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</si>
  <si>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</si>
  <si>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</si>
  <si>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</si>
  <si>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</si>
  <si>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</si>
  <si>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</si>
  <si>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</si>
  <si>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</si>
  <si>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</si>
  <si>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</si>
  <si>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</si>
  <si>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</si>
  <si>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</si>
  <si>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</si>
  <si>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</si>
  <si>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</si>
  <si>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</si>
  <si>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</si>
  <si>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</si>
  <si>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</si>
  <si>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</si>
  <si>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</si>
  <si>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</si>
  <si>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</si>
  <si>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</si>
  <si>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</si>
  <si>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</si>
  <si>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</si>
  <si>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</si>
  <si>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</si>
  <si>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</si>
  <si>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</si>
  <si>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</si>
  <si>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</si>
  <si>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</si>
  <si>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</si>
  <si>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</si>
  <si>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</si>
  <si>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</si>
  <si>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</si>
  <si>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</si>
  <si>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</si>
  <si>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</si>
  <si>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</si>
  <si>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</si>
  <si>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</si>
  <si>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</si>
  <si>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</si>
  <si>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</si>
  <si>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</si>
  <si>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</si>
  <si>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</si>
  <si>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</si>
  <si>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</si>
  <si>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</si>
  <si>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</si>
  <si>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</si>
  <si>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</si>
  <si>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</si>
  <si>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</si>
  <si>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</si>
  <si>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</si>
  <si>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</si>
  <si>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</si>
  <si>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</si>
  <si>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</si>
  <si>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</si>
  <si>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</si>
  <si>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</si>
  <si>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</si>
  <si>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</si>
  <si>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</si>
  <si>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</si>
  <si>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</si>
  <si>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</si>
  <si>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</si>
  <si>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</si>
  <si>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</si>
  <si>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</si>
  <si>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</si>
  <si>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</si>
  <si>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</si>
  <si>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</si>
  <si>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</si>
  <si>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</si>
  <si>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</si>
  <si>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</si>
  <si>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</si>
  <si>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</si>
  <si>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</si>
  <si>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</si>
  <si>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</si>
  <si>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</si>
  <si>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</si>
  <si>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</si>
  <si>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</si>
  <si>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</si>
  <si>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</si>
  <si>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</si>
  <si>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</si>
  <si>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</si>
  <si>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</si>
  <si>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</si>
  <si>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</si>
  <si>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</si>
  <si>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</si>
  <si>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</si>
  <si>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</si>
  <si>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</si>
  <si>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</si>
  <si>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</si>
  <si>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</si>
  <si>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</si>
  <si>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</si>
  <si>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</si>
  <si>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</si>
  <si>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</si>
  <si>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</si>
  <si>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</si>
  <si>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</si>
  <si>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</si>
  <si>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</si>
  <si>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</si>
  <si>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</si>
  <si>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</si>
  <si>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</si>
  <si>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</si>
  <si>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</si>
  <si>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</si>
  <si>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</si>
  <si>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</si>
  <si>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</si>
  <si>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</si>
  <si>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</si>
  <si>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</si>
  <si>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</si>
  <si>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</si>
  <si>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</si>
  <si>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</si>
  <si>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</si>
  <si>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</si>
  <si>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</si>
  <si>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</si>
  <si>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</si>
  <si>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</si>
  <si>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</si>
  <si>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</si>
  <si>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</si>
  <si>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</si>
  <si>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</si>
  <si>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</si>
  <si>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</si>
  <si>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</si>
  <si>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</si>
  <si>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</si>
  <si>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</si>
  <si>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</si>
  <si>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</si>
  <si>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</si>
  <si>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</si>
  <si>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</si>
  <si>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</si>
  <si>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</si>
  <si>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</si>
  <si>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</si>
  <si>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</si>
  <si>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</si>
  <si>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</si>
  <si>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</si>
  <si>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</si>
  <si>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</si>
  <si>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</si>
  <si>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</si>
  <si>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</si>
  <si>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</si>
  <si>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</si>
  <si>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</si>
  <si>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</si>
  <si>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</si>
  <si>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</si>
  <si>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</si>
  <si>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</si>
  <si>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</si>
  <si>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</si>
  <si>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</si>
  <si>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</si>
  <si>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</si>
  <si>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</si>
  <si>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</si>
  <si>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</si>
  <si>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</si>
  <si>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</si>
  <si>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</si>
  <si>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</si>
  <si>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</si>
  <si>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</si>
  <si>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</si>
  <si>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</si>
  <si>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</si>
  <si>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</si>
  <si>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</si>
  <si>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</si>
  <si>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</si>
  <si>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</si>
  <si>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</si>
  <si>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</si>
  <si>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</si>
  <si>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</si>
  <si>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</si>
  <si>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</si>
  <si>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</si>
  <si>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</si>
  <si>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</si>
  <si>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</si>
  <si>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</si>
  <si>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</si>
  <si>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</si>
  <si>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</si>
  <si>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</si>
  <si>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</si>
  <si>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</si>
  <si>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</si>
  <si>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</si>
  <si>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</si>
  <si>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</si>
  <si>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</si>
  <si>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</si>
  <si>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</si>
  <si>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</si>
  <si>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</si>
  <si>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</si>
  <si>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</si>
  <si>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</si>
  <si>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</si>
  <si>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</si>
  <si>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</si>
  <si>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</si>
  <si>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</si>
  <si>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</si>
  <si>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</si>
  <si>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</si>
  <si>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</si>
  <si>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</si>
  <si>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</si>
  <si>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</si>
  <si>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</si>
  <si>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</si>
  <si>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</si>
  <si>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</si>
  <si>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</si>
  <si>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</si>
  <si>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</si>
  <si>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</si>
  <si>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</si>
  <si>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</si>
  <si>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</si>
  <si>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</si>
  <si>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</si>
  <si>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</si>
  <si>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</si>
  <si>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</si>
  <si>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</si>
  <si>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</si>
  <si>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</si>
  <si>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</si>
  <si>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</si>
  <si>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</si>
  <si>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</si>
  <si>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</si>
  <si>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</si>
  <si>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</si>
  <si>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</si>
  <si>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</si>
  <si>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</si>
  <si>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</si>
  <si>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</si>
  <si>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</si>
  <si>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</si>
  <si>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</si>
  <si>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</si>
  <si>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</si>
  <si>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</si>
  <si>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</si>
  <si>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</si>
  <si>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</si>
  <si>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</si>
  <si>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</si>
  <si>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</si>
  <si>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</si>
  <si>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</si>
  <si>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</si>
  <si>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</si>
  <si>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</si>
  <si>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</si>
  <si>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</si>
  <si>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</si>
  <si>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</si>
  <si>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</si>
  <si>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</si>
  <si>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</si>
  <si>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</si>
  <si>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</si>
  <si>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</si>
  <si>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</si>
  <si>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</si>
  <si>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</si>
  <si>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</si>
  <si>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</si>
  <si>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</si>
  <si>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</si>
  <si>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</si>
  <si>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</si>
  <si>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</si>
  <si>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</si>
  <si>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</si>
  <si>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</si>
  <si>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</si>
  <si>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</si>
  <si>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</si>
  <si>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</si>
  <si>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</si>
  <si>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</si>
  <si>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</si>
  <si>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</si>
  <si>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</si>
  <si>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</si>
  <si>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</si>
  <si>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</si>
  <si>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</si>
  <si>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</si>
  <si>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</si>
  <si>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</si>
  <si>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</si>
  <si>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</si>
  <si>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</si>
  <si>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</si>
  <si>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</si>
  <si>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</si>
  <si>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</si>
  <si>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</si>
  <si>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</si>
  <si>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</si>
  <si>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</si>
  <si>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</si>
  <si>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</si>
  <si>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</si>
  <si>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</si>
  <si>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</si>
  <si>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</si>
  <si>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</si>
  <si>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</si>
  <si>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</si>
  <si>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</si>
  <si>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</si>
  <si>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</si>
  <si>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</si>
  <si>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</si>
  <si>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</si>
  <si>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</si>
  <si>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</si>
  <si>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</si>
  <si>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</si>
  <si>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</si>
  <si>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</si>
  <si>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</si>
  <si>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</si>
  <si>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</si>
  <si>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</si>
  <si>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</si>
  <si>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</si>
  <si>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</si>
  <si>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</si>
  <si>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</si>
  <si>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</si>
  <si>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</si>
  <si>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</si>
  <si>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</si>
  <si>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</si>
  <si>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</si>
  <si>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</si>
  <si>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</si>
  <si>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</si>
  <si>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</si>
  <si>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</si>
  <si>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</si>
  <si>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</si>
  <si>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</si>
  <si>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</si>
  <si>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</si>
  <si>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</si>
  <si>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</si>
  <si>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</si>
  <si>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</si>
  <si>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</si>
  <si>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</si>
  <si>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</si>
  <si>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</si>
  <si>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</si>
  <si>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</si>
  <si>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</si>
  <si>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</si>
  <si>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</si>
  <si>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</si>
  <si>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</si>
  <si>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</si>
  <si>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</si>
  <si>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</si>
  <si>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</si>
  <si>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</si>
  <si>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</si>
  <si>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</si>
  <si>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</si>
  <si>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</si>
  <si>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</si>
  <si>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</si>
  <si>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</si>
  <si>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</si>
  <si>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</si>
  <si>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</si>
  <si>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</si>
  <si>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</si>
  <si>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</si>
  <si>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</si>
  <si>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</si>
  <si>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</si>
  <si>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</si>
  <si>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</si>
  <si>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</si>
  <si>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</si>
  <si>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</si>
  <si>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</si>
  <si>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</si>
  <si>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</si>
  <si>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</si>
  <si>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</si>
  <si>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</si>
  <si>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</si>
  <si>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</si>
  <si>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</si>
  <si>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</si>
  <si>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</si>
  <si>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</si>
  <si>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</si>
  <si>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</si>
  <si>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</si>
  <si>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</si>
  <si>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</si>
  <si>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</si>
  <si>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</si>
  <si>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</si>
  <si>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</si>
  <si>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</si>
  <si>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</si>
  <si>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</si>
  <si>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</si>
  <si>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</si>
  <si>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</si>
  <si>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</si>
  <si>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</si>
  <si>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</si>
  <si>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</si>
  <si>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</si>
  <si>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</si>
  <si>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</si>
  <si>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</si>
  <si>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</si>
  <si>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</si>
  <si>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</si>
  <si>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</si>
  <si>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</si>
  <si>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</si>
  <si>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</si>
  <si>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</si>
  <si>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</si>
  <si>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</si>
  <si>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</si>
  <si>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</si>
  <si>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</si>
  <si>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</si>
  <si>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</si>
  <si>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</si>
  <si>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</si>
  <si>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</si>
  <si>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</si>
  <si>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</si>
  <si>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</si>
  <si>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</si>
  <si>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</si>
  <si>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</si>
  <si>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</si>
  <si>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</si>
  <si>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</si>
  <si>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</si>
  <si>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</si>
  <si>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</si>
  <si>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</si>
  <si>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</si>
  <si>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</si>
  <si>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</si>
  <si>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</si>
  <si>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</si>
  <si>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</si>
  <si>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</si>
  <si>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</si>
  <si>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</si>
  <si>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</si>
  <si>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</si>
  <si>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</si>
  <si>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</si>
  <si>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</si>
  <si>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</si>
  <si>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</si>
  <si>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</si>
  <si>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</si>
  <si>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</si>
  <si>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</si>
  <si>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</si>
  <si>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</si>
  <si>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</si>
  <si>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</si>
  <si>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</si>
  <si>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</si>
  <si>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</si>
  <si>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</si>
  <si>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</si>
  <si>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</si>
  <si>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</si>
  <si>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</si>
  <si>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</si>
  <si>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</si>
  <si>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</si>
  <si>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</si>
  <si>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</si>
  <si>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</si>
  <si>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</si>
  <si>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</si>
  <si>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</si>
  <si>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</si>
  <si>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</si>
  <si>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</si>
  <si>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</si>
  <si>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</si>
  <si>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</si>
  <si>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</si>
  <si>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</si>
  <si>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</si>
  <si>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</si>
  <si>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</si>
  <si>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</si>
  <si>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</si>
  <si>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</si>
  <si>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</si>
  <si>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</si>
  <si>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</si>
  <si>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</si>
  <si>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</si>
  <si>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</si>
  <si>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</si>
  <si>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</si>
  <si>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</si>
  <si>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</si>
  <si>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</si>
  <si>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</si>
  <si>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</si>
  <si>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</si>
  <si>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</si>
  <si>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</si>
  <si>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</si>
  <si>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</si>
  <si>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</si>
  <si>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</si>
  <si>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</si>
  <si>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</si>
  <si>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</si>
  <si>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</si>
  <si>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</si>
  <si>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</si>
  <si>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</si>
  <si>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</si>
  <si>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</si>
  <si>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</si>
  <si>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</si>
  <si>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</si>
  <si>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</si>
  <si>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</si>
  <si>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</si>
  <si>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</si>
  <si>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</si>
  <si>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</si>
  <si>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</si>
  <si>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</si>
  <si>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</si>
  <si>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</si>
  <si>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</si>
  <si>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</si>
  <si>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</si>
  <si>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</si>
  <si>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</si>
  <si>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</si>
  <si>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</si>
  <si>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</si>
  <si>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</si>
  <si>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</si>
  <si>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</si>
  <si>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</si>
  <si>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</si>
  <si>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</si>
  <si>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</si>
  <si>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</si>
  <si>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</si>
  <si>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</si>
  <si>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</si>
  <si>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</si>
  <si>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</si>
  <si>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</si>
  <si>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</si>
  <si>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</si>
  <si>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</si>
  <si>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</si>
  <si>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</si>
  <si>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</si>
  <si>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</si>
  <si>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</si>
  <si>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</si>
  <si>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</si>
  <si>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</si>
  <si>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</si>
  <si>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</si>
  <si>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</si>
  <si>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</si>
  <si>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</si>
  <si>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</si>
  <si>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</si>
  <si>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</si>
  <si>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</si>
  <si>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</si>
  <si>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</si>
  <si>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</si>
  <si>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</si>
  <si>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</si>
  <si>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</si>
  <si>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</si>
  <si>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</si>
  <si>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</si>
  <si>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</si>
  <si>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</si>
  <si>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</si>
  <si>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</si>
  <si>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</si>
  <si>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</si>
  <si>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</si>
  <si>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</si>
  <si>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</si>
  <si>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</si>
  <si>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</si>
  <si>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</si>
  <si>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</si>
  <si>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</si>
  <si>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</si>
  <si>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</si>
  <si>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</si>
  <si>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</si>
  <si>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</si>
  <si>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</si>
  <si>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</si>
  <si>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</si>
  <si>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</si>
  <si>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</si>
  <si>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</si>
  <si>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</si>
  <si>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</si>
  <si>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</si>
  <si>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</si>
  <si>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</si>
  <si>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</si>
  <si>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</si>
  <si>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</si>
  <si>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</si>
  <si>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</si>
  <si>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</si>
  <si>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</si>
  <si>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</si>
  <si>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</si>
  <si>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</si>
  <si>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</si>
  <si>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</si>
  <si>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</si>
  <si>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</si>
  <si>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</si>
  <si>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</si>
  <si>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</si>
  <si>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</si>
  <si>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</si>
  <si>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</si>
  <si>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</si>
  <si>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</si>
  <si>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</si>
  <si>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</si>
  <si>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</si>
  <si>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</si>
  <si>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</si>
  <si>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</si>
  <si>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</si>
  <si>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</si>
  <si>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</si>
  <si>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</si>
  <si>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</si>
  <si>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</si>
  <si>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</si>
  <si>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</si>
  <si>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</si>
  <si>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</si>
  <si>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</si>
  <si>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</si>
  <si>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</si>
  <si>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</si>
  <si>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</si>
  <si>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</si>
  <si>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</si>
  <si>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</si>
  <si>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</si>
  <si>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</si>
  <si>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</si>
  <si>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</si>
  <si>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</si>
  <si>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</si>
  <si>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</si>
  <si>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</si>
  <si>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</si>
  <si>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</si>
  <si>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</si>
  <si>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</si>
  <si>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</si>
  <si>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</si>
  <si>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</si>
  <si>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</si>
  <si>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</si>
  <si>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</si>
  <si>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</si>
  <si>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</si>
  <si>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</si>
  <si>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</si>
  <si>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</si>
  <si>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</si>
  <si>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</si>
  <si>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</si>
  <si>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</si>
  <si>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</si>
  <si>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</si>
  <si>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</si>
  <si>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</si>
  <si>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</si>
  <si>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</si>
  <si>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</si>
  <si>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</si>
  <si>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</si>
  <si>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</si>
  <si>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</si>
  <si>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</si>
  <si>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</si>
  <si>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</si>
  <si>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</si>
  <si>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</si>
  <si>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</si>
  <si>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</si>
  <si>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</si>
  <si>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</si>
  <si>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</si>
  <si>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</si>
  <si>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</si>
  <si>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</si>
  <si>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</si>
  <si>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</si>
  <si>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</si>
  <si>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</si>
  <si>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</si>
  <si>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</si>
  <si>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</si>
  <si>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</si>
  <si>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</si>
  <si>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</si>
  <si>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</si>
  <si>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</si>
  <si>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</si>
  <si>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</si>
  <si>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</si>
  <si>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</si>
  <si>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</si>
  <si>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</si>
  <si>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</si>
  <si>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</si>
  <si>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</si>
  <si>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</si>
  <si>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</si>
  <si>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</si>
  <si>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</si>
  <si>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</si>
  <si>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</si>
  <si>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</si>
  <si>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</si>
  <si>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</si>
  <si>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</si>
  <si>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</si>
  <si>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</si>
  <si>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</si>
  <si>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</si>
  <si>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</si>
  <si>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</si>
  <si>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</si>
  <si>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</si>
  <si>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</si>
  <si>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</si>
  <si>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</si>
  <si>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</si>
  <si>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</si>
  <si>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</si>
  <si>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</si>
  <si>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</si>
  <si>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</si>
  <si>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</si>
  <si>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</si>
  <si>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</si>
  <si>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</si>
  <si>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</si>
  <si>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</si>
  <si>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</si>
  <si>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</si>
  <si>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</si>
  <si>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</si>
  <si>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</si>
  <si>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</si>
  <si>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</si>
  <si>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</si>
  <si>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</si>
  <si>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</si>
  <si>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</si>
  <si>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</si>
  <si>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</si>
  <si>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</si>
  <si>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</si>
  <si>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</si>
  <si>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</si>
  <si>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</si>
  <si>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</si>
  <si>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</si>
  <si>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</si>
  <si>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</si>
  <si>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</si>
  <si>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</si>
  <si>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</si>
  <si>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</si>
  <si>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</si>
  <si>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</si>
  <si>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</si>
  <si>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</si>
  <si>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</si>
  <si>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</si>
  <si>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</si>
  <si>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</si>
  <si>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</si>
  <si>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</si>
  <si>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</si>
  <si>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</si>
  <si>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</si>
  <si>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</si>
  <si>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</si>
  <si>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</si>
  <si>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</si>
  <si>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</si>
  <si>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</si>
  <si>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</si>
  <si>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</si>
  <si>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</si>
  <si>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</si>
  <si>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</si>
  <si>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</si>
  <si>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</si>
  <si>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</si>
  <si>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</si>
  <si>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</si>
  <si>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</si>
  <si>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</si>
  <si>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</si>
  <si>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</si>
  <si>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</si>
  <si>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</si>
  <si>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</si>
  <si>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</si>
  <si>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</si>
  <si>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</si>
  <si>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</si>
  <si>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</si>
  <si>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</si>
  <si>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CZ</t>
  </si>
  <si>
    <t>Ministry of the Environment of the Czech Republic</t>
  </si>
  <si>
    <t/>
  </si>
  <si>
    <t>Jan Tuma</t>
  </si>
  <si>
    <t>Head of Emission Trading Unit</t>
  </si>
  <si>
    <t>Vrsovicka 65, Praha 10, 100 10</t>
  </si>
  <si>
    <t>420267122360</t>
  </si>
  <si>
    <t>jan.tuma@mzp.cz</t>
  </si>
  <si>
    <t>Ministry of the Environment</t>
  </si>
  <si>
    <t>OTE, a.s.</t>
  </si>
  <si>
    <t>Czech Environmental Inspectorate</t>
  </si>
  <si>
    <t>MoE</t>
  </si>
  <si>
    <t>OTE</t>
  </si>
  <si>
    <t>CIZP</t>
  </si>
  <si>
    <t>1</t>
  </si>
  <si>
    <t>420267121111</t>
  </si>
  <si>
    <t>420296579332</t>
  </si>
  <si>
    <t>420222860111</t>
  </si>
  <si>
    <t>info@mzp.cz</t>
  </si>
  <si>
    <t>povolenky@ote-cr.cz</t>
  </si>
  <si>
    <t>podatelna@cizp.cz</t>
  </si>
  <si>
    <t>www.mzp.cz/en/</t>
  </si>
  <si>
    <t>www.povolenky.cz</t>
  </si>
  <si>
    <t>www.cizp.cz</t>
  </si>
  <si>
    <t>Czech Accreditation Institute</t>
  </si>
  <si>
    <t>CAI</t>
  </si>
  <si>
    <t>420272096222</t>
  </si>
  <si>
    <t>mail@cai.cz</t>
  </si>
  <si>
    <t>www.cia.cz/en/</t>
  </si>
  <si>
    <t>MoE, OTE</t>
  </si>
  <si>
    <t>Not relevant</t>
  </si>
  <si>
    <t>Ad hoc meetings</t>
  </si>
  <si>
    <t>Technical Committee on Accreditation of GHG
Reports Verifiers (CAI + verifiers + MoE +
operators and/or industry groupings)</t>
  </si>
  <si>
    <t>IED regulators do not carry inspections of EU ETS. An inspection carriečd by CIZP may focuss both on IED and EU ETS.</t>
  </si>
  <si>
    <t>serious breach of operator's duties, not using the permit for more than 2 years without particular reason, operator's own request, cessation in sense of Art. 22(1)(d, e) of Commission Decision No. 2011/278/EU, change of conditions decisive for the issuance of the permit</t>
  </si>
  <si>
    <t>no (permit is not time-limited)</t>
  </si>
  <si>
    <t>always, if the production capacity or the rated thermal output changes</t>
  </si>
  <si>
    <t>always, if a significant modification to the monitoring plan occurs</t>
  </si>
  <si>
    <t>in case of changed identity or contact information of an installation operator</t>
  </si>
  <si>
    <t>Act No. 383/2012 Coll., On Condiotions of Emission Trading, review No. 1/2020 Coll. Regulation of the Ministry of the
Environment No. 192/2013 Coll. (new installation permit form and aviation free allocation request form)</t>
  </si>
  <si>
    <t>Guidance on the uncertainty assessment</t>
  </si>
  <si>
    <t>Communication and coordination with the Czech Hydrometeorological Institute (CHMI)</t>
  </si>
  <si>
    <t>Biomass (solid) - NCV</t>
  </si>
  <si>
    <t>Biogas (NCV)</t>
  </si>
  <si>
    <t>Biogas (EF)</t>
  </si>
  <si>
    <t>Biomas (liquid) - NCV</t>
  </si>
  <si>
    <t>Old Tires (NCV+EF)</t>
  </si>
  <si>
    <t>Antracit (NCV+EF)</t>
  </si>
  <si>
    <t>Coke (NCV+EF)</t>
  </si>
  <si>
    <t>Light Fuel Oil (NCV+EF)</t>
  </si>
  <si>
    <t>Light Fuel Oil (EF)</t>
  </si>
  <si>
    <t>Off-gas (NCV+EF)</t>
  </si>
  <si>
    <t>Steel (EF)</t>
  </si>
  <si>
    <t>Steel (C content)</t>
  </si>
  <si>
    <t>Pig iron / Scrap (EF)</t>
  </si>
  <si>
    <t>Pig iron / Scrap (C content)</t>
  </si>
  <si>
    <t>BaCO3 (EF)</t>
  </si>
  <si>
    <t>FeCO3 (EF)</t>
  </si>
  <si>
    <t>MnCO3 (EF)</t>
  </si>
  <si>
    <t>Na2CO3 (EF)</t>
  </si>
  <si>
    <t>CaCO3 (EF)</t>
  </si>
  <si>
    <t>MgCO3 (EF)</t>
  </si>
  <si>
    <t>Li2CO3 (EF)</t>
  </si>
  <si>
    <t>LPG / Propane-Butane (NCV+EF)</t>
  </si>
  <si>
    <t>LPG / Propane-Nutane (NCV+EF)</t>
  </si>
  <si>
    <t>Graphite electrodes (C content)</t>
  </si>
  <si>
    <t>Waste tyres - biomass fraction - Type I default value</t>
  </si>
  <si>
    <t>Waste tyres - net calorific value - Type I default value</t>
  </si>
  <si>
    <t>Lignite - net calorific value - Type I default value</t>
  </si>
  <si>
    <t>methodical material published by the cement industry; reason: technical unfeasibility of making analysis</t>
  </si>
  <si>
    <t>supplier's lignite cataloque (installation with low emissions)</t>
  </si>
  <si>
    <t>CZ-117</t>
  </si>
  <si>
    <t>CZ-36</t>
  </si>
  <si>
    <t>CZ-65</t>
  </si>
  <si>
    <t>CZ-45</t>
  </si>
  <si>
    <t>CZ-151</t>
  </si>
  <si>
    <t>CZ-118</t>
  </si>
  <si>
    <t>CZ-120</t>
  </si>
  <si>
    <t>CZ-121</t>
  </si>
  <si>
    <t>CZ-122</t>
  </si>
  <si>
    <t>CZ-123</t>
  </si>
  <si>
    <t>CZ-124</t>
  </si>
  <si>
    <t>CZ-125</t>
  </si>
  <si>
    <t>CZ-128</t>
  </si>
  <si>
    <t>CZ-129</t>
  </si>
  <si>
    <t>CZ-126</t>
  </si>
  <si>
    <t>CZ-127</t>
  </si>
  <si>
    <t>n.a.</t>
  </si>
  <si>
    <t>7 major emission sources</t>
  </si>
  <si>
    <t>6 major emission sources</t>
  </si>
  <si>
    <t>4 major emission sources</t>
  </si>
  <si>
    <t>3 major emission sources</t>
  </si>
  <si>
    <t>1 major emission source</t>
  </si>
  <si>
    <t>2 major emission sources</t>
  </si>
  <si>
    <t>5 major emission sources</t>
  </si>
  <si>
    <t>CZ-92</t>
  </si>
  <si>
    <t>CZ-157</t>
  </si>
  <si>
    <t>CZ-245</t>
  </si>
  <si>
    <t>CZ-119</t>
  </si>
  <si>
    <t>CZ-106</t>
  </si>
  <si>
    <t>CZ-107</t>
  </si>
  <si>
    <t>CZ-201865</t>
  </si>
  <si>
    <t>CZ-22</t>
  </si>
  <si>
    <t>For 2021, the derrogation pursuant to regulation 2022/388/EU is used and the sustainability of biomass os considered as fulfilled. Nevertheless, operators are expected to be able to provide informatiopn about the origin of biomass. In case of obvious non-compliance with the criteria, the biomass might be evaluated case by case by the competent autrhority and not considered as sustainable. No such source stream occured.</t>
  </si>
  <si>
    <t>0</t>
  </si>
  <si>
    <t>174</t>
  </si>
  <si>
    <t>414</t>
  </si>
  <si>
    <t>126</t>
  </si>
  <si>
    <t>424</t>
  </si>
  <si>
    <t>Calculation based on the data from previous years</t>
  </si>
  <si>
    <t>No active emission sources = 0 t emissions.</t>
  </si>
  <si>
    <t>Merger of installations – all emissions encompassed in another emission report. No remaining active emission sources = 0 t emissions.</t>
  </si>
  <si>
    <t>The installation has been previously excluded from the EU ETS due to the decrease of the total thermal input in the end of 2020, but the emission permit validity encompassed a part of the year 2021. After the reminder and the conservative estimation, the operator surrendered all required allowances.</t>
  </si>
  <si>
    <t>The installation ceased operation already in 2020, but the emission permit validity encompassed a part of the year 2021.</t>
  </si>
  <si>
    <t>The installation mergered with the installation 127, but the emission permit for installation 126 was valid for a part of 2021. Emissions reported in the report for installation 127.</t>
  </si>
  <si>
    <t>The installation mergered with the installation 121, but the emission permit for installation 424 was valid for a part of 2021. Emissions reported in the report for installation 121.</t>
  </si>
  <si>
    <t>Some Emission Reports have been cross-checked with Verification Reports and Improvement Reports or with historical data. Further, data gained from Emission Reports has been partly cross-checked with data from the Czech Hydrometeorological Institute (calculation of emissions from CRF categories).</t>
  </si>
  <si>
    <t>Risk based assessment - checks on reports with inconsistencies found during previons checks or based on findings during checks of AER. Focus on installations with the highest amount of emissions and on the biggest source streams.</t>
  </si>
  <si>
    <t>Covid-19 related measures imposed by the government and/or the operator to minimize risks connected with the epidemiological situation</t>
  </si>
  <si>
    <t>No measures - all reports accepted</t>
  </si>
  <si>
    <t>Merger with another installation</t>
  </si>
  <si>
    <t>Article 27a (temporary derrogation; permit not cancelled, unless other conditions satisfied)</t>
  </si>
  <si>
    <t>OpenAccounts</t>
  </si>
  <si>
    <t>Maintain</t>
  </si>
  <si>
    <t>FeePerAllow</t>
  </si>
  <si>
    <t>The EU ETS competent authority is not an inspection body in CZ, but may take part in witnessed audits (verification). Nevertheless, due to the epidemy no witness audit was performed in 2021 by the competent authority.</t>
  </si>
  <si>
    <t>In cases of insolvency /liquidation.</t>
  </si>
  <si>
    <t>Suspension of the account</t>
  </si>
  <si>
    <t>Fine equal to 100 EUR per unsurrendered allowance
increased by harmonised index of consumer prices
since 2013 (not releasing from obligation to
surrender allowances)</t>
  </si>
  <si>
    <t>Failure to announce true information regarding the compliance with conditions for the exclusion from the EU ETS according to Art 27a</t>
  </si>
  <si>
    <t>Failure to apply for the opening of an account in the EU Registry</t>
  </si>
  <si>
    <t>Failure to surrender or return emission allowances</t>
  </si>
  <si>
    <t>Emission Trading Act Nr. 383/2012 Coll.</t>
  </si>
  <si>
    <t>Note: the fine has no legal force so far with regard to ongoing proceedings</t>
  </si>
  <si>
    <t>367</t>
  </si>
  <si>
    <t>95</t>
  </si>
  <si>
    <t>Energy Ústí nad Labem, a.s.</t>
  </si>
  <si>
    <t>Výroba a prodej tepla Příbram, a.s.</t>
  </si>
  <si>
    <t>No special measures are in place. A request for an operating ban would follow if sanctions would not lead to compliance.</t>
  </si>
  <si>
    <t>Allowance is defined as an "other asset value corresponding to installation operator's or aircraft operator's entitlement to
discharge the equivalent of a tonne of CO2 into the atmosphere" (Act No. 383/2012 Coll., on Conditions for Emission
Allowances Trading)</t>
  </si>
  <si>
    <t>Intangible assets (B.I.6 Other long run intangible assets)</t>
  </si>
  <si>
    <t>VAT</t>
  </si>
  <si>
    <t>21</t>
  </si>
  <si>
    <t>No special arrangements</t>
  </si>
  <si>
    <t>CIZP performs checks in installations</t>
  </si>
  <si>
    <t>Sanction depend on legal classification of a committed
fraud and scope of caused harm, therefore there is no
simple answer to such question</t>
  </si>
  <si>
    <t>Yes. CIZP informs MoE about the findings ans/or sanctions. CIZP may also inform MoE about the proceedings of ongoind investigations.</t>
  </si>
  <si>
    <t>MoE is informed if relevant. Based on the nature of cases brought to court, MoE is usually one of the subjects concerned.</t>
  </si>
  <si>
    <t>* Category B: 8 installations classified as category B were below 50 000 t in 2021.</t>
  </si>
  <si>
    <t xml:space="preserve">Installations with low emissions: * Based on 2021 emissions - the category approved in the monitoring plan may differ. ** Including 13 installations that were (temporarily) excluded from the EU ETS pursuant to Art 27a of the Directive 87/2003/EC. </t>
  </si>
  <si>
    <t>* Plus 16 changes (of MP) occuring without a change to the emission permit, out of this 2 temporary.</t>
  </si>
  <si>
    <t>* The relatively big change in use of "other fossil fuels" is caused by decommissioning of the production and use of combusted pressurized gas in 2020 in one big installation.</t>
  </si>
  <si>
    <t>* Improvement Reports received in the reported year 2021 (this means relating to issues identified in the year 2020) are included in the Art. 21 report.</t>
  </si>
  <si>
    <t>* For some waste materials 0 t (fossil) emissions is reported. These materials are either waste biomass and do not produce fossil emissions, or a part of a complex process (e.g. in steel industry) that has negative balance of emissions based on input and output amounts of the material. Further, some source streams are reported with no activity data and zero emissions because the material is included in the monitoring plan and the emission report, but has not been used in the reporting period.</t>
  </si>
  <si>
    <t>The copy of CZ specific terms and conditions required to be signed by account holders is submitted in the attachment of this report, including a unofficial courtesy translation to 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</si>
</sst>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1392"/>
  <sheetViews>
    <sheetView topLeftCell="A1370" workbookViewId="0">
      <selection activeCell="A1392" sqref="A1392"/>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1738</v>
      </c>
      <c r="C2" t="s">
        <v>1739</v>
      </c>
      <c r="D2">
        <v>0</v>
      </c>
      <c r="E2" t="s">
        <v>1447</v>
      </c>
      <c r="F2" t="s">
        <v>1740</v>
      </c>
      <c r="G2" t="s">
        <v>1741</v>
      </c>
      <c r="H2" t="s">
        <v>2278</v>
      </c>
      <c r="I2" t="s">
        <v>2279</v>
      </c>
      <c r="J2" t="s">
        <v>2279</v>
      </c>
      <c r="K2" t="s">
        <v>2279</v>
      </c>
      <c r="L2" t="s">
        <v>2279</v>
      </c>
      <c r="M2" t="s">
        <v>2279</v>
      </c>
      <c r="N2" t="s">
        <v>2279</v>
      </c>
      <c r="O2" s="190" t="str">
        <f>"["&amp;$C2&amp;"]["&amp;$D2&amp;"]["&amp;$F2&amp;"]"</f>
        <v>[S01_InstitutionDetails][0][NameAndDepartment]</v>
      </c>
    </row>
    <row r="3" spans="1:18" x14ac:dyDescent="0.3">
      <c r="A3" t="s">
        <v>2277</v>
      </c>
      <c r="B3" t="s">
        <v>1738</v>
      </c>
      <c r="C3" t="s">
        <v>1739</v>
      </c>
      <c r="D3">
        <v>0</v>
      </c>
      <c r="E3" t="s">
        <v>1447</v>
      </c>
      <c r="F3" t="s">
        <v>1742</v>
      </c>
      <c r="G3" t="s">
        <v>1741</v>
      </c>
      <c r="H3" t="s">
        <v>2280</v>
      </c>
      <c r="I3" t="s">
        <v>2279</v>
      </c>
      <c r="J3" t="s">
        <v>2279</v>
      </c>
      <c r="K3" t="s">
        <v>2279</v>
      </c>
      <c r="L3" t="s">
        <v>2279</v>
      </c>
      <c r="M3" t="s">
        <v>2279</v>
      </c>
      <c r="N3" t="s">
        <v>2279</v>
      </c>
      <c r="O3" s="190" t="str">
        <f>"["&amp;$C3&amp;"]["&amp;$D3&amp;"]["&amp;$F3&amp;"]"</f>
        <v>[S01_InstitutionDetails][0][ContactPersonName]</v>
      </c>
    </row>
    <row r="4" spans="1:18" x14ac:dyDescent="0.3">
      <c r="A4" t="s">
        <v>2277</v>
      </c>
      <c r="B4" t="s">
        <v>1738</v>
      </c>
      <c r="C4" t="s">
        <v>1739</v>
      </c>
      <c r="D4">
        <v>0</v>
      </c>
      <c r="E4" t="s">
        <v>1447</v>
      </c>
      <c r="F4" t="s">
        <v>1743</v>
      </c>
      <c r="G4" t="s">
        <v>1741</v>
      </c>
      <c r="H4" t="s">
        <v>2281</v>
      </c>
      <c r="I4" t="s">
        <v>2279</v>
      </c>
      <c r="J4" t="s">
        <v>2279</v>
      </c>
      <c r="K4" t="s">
        <v>2279</v>
      </c>
      <c r="L4" t="s">
        <v>2279</v>
      </c>
      <c r="M4" t="s">
        <v>2279</v>
      </c>
      <c r="N4" t="s">
        <v>2279</v>
      </c>
      <c r="O4" s="190" t="str">
        <f>"["&amp;$C4&amp;"]["&amp;$D4&amp;"]["&amp;$F4&amp;"]"</f>
        <v>[S01_InstitutionDetails][0][ContactPersonJobTitle]</v>
      </c>
    </row>
    <row r="5" spans="1:18" x14ac:dyDescent="0.3">
      <c r="A5" t="s">
        <v>2277</v>
      </c>
      <c r="B5" t="s">
        <v>1738</v>
      </c>
      <c r="C5" t="s">
        <v>1739</v>
      </c>
      <c r="D5">
        <v>0</v>
      </c>
      <c r="E5" t="s">
        <v>1447</v>
      </c>
      <c r="F5" t="s">
        <v>1744</v>
      </c>
      <c r="G5" t="s">
        <v>1741</v>
      </c>
      <c r="H5" t="s">
        <v>2282</v>
      </c>
      <c r="I5" t="s">
        <v>2279</v>
      </c>
      <c r="J5" t="s">
        <v>2279</v>
      </c>
      <c r="K5" t="s">
        <v>2279</v>
      </c>
      <c r="L5" t="s">
        <v>2279</v>
      </c>
      <c r="M5" t="s">
        <v>2279</v>
      </c>
      <c r="N5" t="s">
        <v>2279</v>
      </c>
      <c r="O5" s="190" t="str">
        <f>"["&amp;$C5&amp;"]["&amp;$D5&amp;"]["&amp;$F5&amp;"]"</f>
        <v>[S01_InstitutionDetails][0][Address]</v>
      </c>
    </row>
    <row r="6" spans="1:18" x14ac:dyDescent="0.3">
      <c r="A6" t="s">
        <v>2277</v>
      </c>
      <c r="B6" t="s">
        <v>1738</v>
      </c>
      <c r="C6" t="s">
        <v>1739</v>
      </c>
      <c r="D6">
        <v>0</v>
      </c>
      <c r="E6" t="s">
        <v>1447</v>
      </c>
      <c r="F6" t="s">
        <v>1745</v>
      </c>
      <c r="G6" t="s">
        <v>1741</v>
      </c>
      <c r="H6" t="s">
        <v>2283</v>
      </c>
      <c r="I6" t="s">
        <v>2279</v>
      </c>
      <c r="J6" t="s">
        <v>2279</v>
      </c>
      <c r="K6" t="s">
        <v>2279</v>
      </c>
      <c r="L6" t="s">
        <v>2279</v>
      </c>
      <c r="M6" t="s">
        <v>2279</v>
      </c>
      <c r="N6" t="s">
        <v>2279</v>
      </c>
      <c r="O6" s="190" t="str">
        <f>"["&amp;$C6&amp;"]["&amp;$D6&amp;"]["&amp;$F6&amp;"]"</f>
        <v>[S01_InstitutionDetails][0][InternationalTelephoneNumber]</v>
      </c>
    </row>
    <row r="7" spans="1:18" x14ac:dyDescent="0.3">
      <c r="A7" t="s">
        <v>2277</v>
      </c>
      <c r="B7" t="s">
        <v>1738</v>
      </c>
      <c r="C7" t="s">
        <v>1739</v>
      </c>
      <c r="D7">
        <v>0</v>
      </c>
      <c r="E7" t="s">
        <v>1447</v>
      </c>
      <c r="F7" t="s">
        <v>1746</v>
      </c>
      <c r="G7" t="s">
        <v>1741</v>
      </c>
      <c r="H7" t="s">
        <v>2284</v>
      </c>
      <c r="I7" t="s">
        <v>2279</v>
      </c>
      <c r="J7" t="s">
        <v>2279</v>
      </c>
      <c r="K7" t="s">
        <v>2279</v>
      </c>
      <c r="L7" t="s">
        <v>2279</v>
      </c>
      <c r="M7" t="s">
        <v>2279</v>
      </c>
      <c r="N7" t="s">
        <v>2279</v>
      </c>
      <c r="O7" s="190" t="str">
        <f>"["&amp;$C7&amp;"]["&amp;$D7&amp;"]["&amp;$F7&amp;"]"</f>
        <v>[S01_InstitutionDetails][0][EMail]</v>
      </c>
    </row>
    <row r="8" spans="1:18" x14ac:dyDescent="0.3">
      <c r="A8" t="s">
        <v>2277</v>
      </c>
      <c r="B8" t="s">
        <v>1738</v>
      </c>
      <c r="C8" t="s">
        <v>1739</v>
      </c>
      <c r="D8">
        <v>0</v>
      </c>
      <c r="E8" t="s">
        <v>1447</v>
      </c>
      <c r="F8" t="s">
        <v>1747</v>
      </c>
      <c r="G8" t="s">
        <v>1748</v>
      </c>
      <c r="H8" t="s">
        <v>2279</v>
      </c>
      <c r="I8">
        <v>2021</v>
      </c>
      <c r="J8" t="s">
        <v>2279</v>
      </c>
      <c r="K8" t="s">
        <v>2279</v>
      </c>
      <c r="L8" t="s">
        <v>2279</v>
      </c>
      <c r="M8" t="s">
        <v>2279</v>
      </c>
      <c r="N8" t="s">
        <v>2279</v>
      </c>
      <c r="O8" s="190" t="str">
        <f>"["&amp;$C8&amp;"]["&amp;$D8&amp;"]["&amp;$F8&amp;"]"</f>
        <v>[S01_InstitutionDetails][0][ReportingYear]</v>
      </c>
    </row>
    <row r="9" spans="1:18" x14ac:dyDescent="0.3">
      <c r="A9" t="s">
        <v>2277</v>
      </c>
      <c r="B9" t="s">
        <v>1749</v>
      </c>
      <c r="C9" t="s">
        <v>1750</v>
      </c>
      <c r="D9">
        <v>1</v>
      </c>
      <c r="E9" t="s">
        <v>1447</v>
      </c>
      <c r="F9" t="s">
        <v>1751</v>
      </c>
      <c r="G9" t="s">
        <v>1741</v>
      </c>
      <c r="H9" t="s">
        <v>2285</v>
      </c>
      <c r="I9" t="s">
        <v>2279</v>
      </c>
      <c r="J9" t="s">
        <v>2279</v>
      </c>
      <c r="K9" t="s">
        <v>2279</v>
      </c>
      <c r="L9" t="s">
        <v>2279</v>
      </c>
      <c r="M9" t="s">
        <v>2279</v>
      </c>
      <c r="N9" t="s">
        <v>2279</v>
      </c>
      <c r="O9" s="190" t="str">
        <f>"["&amp;$C9&amp;"]["&amp;$D9&amp;"]["&amp;$F9&amp;"]"</f>
        <v>[S02_CompetentAuthority][1][CAName]</v>
      </c>
    </row>
    <row r="10" spans="1:18" x14ac:dyDescent="0.3">
      <c r="A10" t="s">
        <v>2277</v>
      </c>
      <c r="B10" t="s">
        <v>1749</v>
      </c>
      <c r="C10" t="s">
        <v>1750</v>
      </c>
      <c r="D10">
        <v>2</v>
      </c>
      <c r="E10" t="s">
        <v>1447</v>
      </c>
      <c r="F10" t="s">
        <v>1751</v>
      </c>
      <c r="G10" t="s">
        <v>1741</v>
      </c>
      <c r="H10" t="s">
        <v>2286</v>
      </c>
      <c r="I10" t="s">
        <v>2279</v>
      </c>
      <c r="J10" t="s">
        <v>2279</v>
      </c>
      <c r="K10" t="s">
        <v>2279</v>
      </c>
      <c r="L10" t="s">
        <v>2279</v>
      </c>
      <c r="M10" t="s">
        <v>2279</v>
      </c>
      <c r="N10" t="s">
        <v>2279</v>
      </c>
      <c r="O10" s="190" t="str">
        <f>"["&amp;$C10&amp;"]["&amp;$D10&amp;"]["&amp;$F10&amp;"]"</f>
        <v>[S02_CompetentAuthority][2][CAName]</v>
      </c>
    </row>
    <row r="11" spans="1:18" x14ac:dyDescent="0.3">
      <c r="A11" t="s">
        <v>2277</v>
      </c>
      <c r="B11" t="s">
        <v>1749</v>
      </c>
      <c r="C11" t="s">
        <v>1750</v>
      </c>
      <c r="D11">
        <v>3</v>
      </c>
      <c r="E11" t="s">
        <v>1447</v>
      </c>
      <c r="F11" t="s">
        <v>1751</v>
      </c>
      <c r="G11" t="s">
        <v>1741</v>
      </c>
      <c r="H11" t="s">
        <v>2287</v>
      </c>
      <c r="I11" t="s">
        <v>2279</v>
      </c>
      <c r="J11" t="s">
        <v>2279</v>
      </c>
      <c r="K11" t="s">
        <v>2279</v>
      </c>
      <c r="L11" t="s">
        <v>2279</v>
      </c>
      <c r="M11" t="s">
        <v>2279</v>
      </c>
      <c r="N11" t="s">
        <v>2279</v>
      </c>
      <c r="O11" s="190" t="str">
        <f>"["&amp;$C11&amp;"]["&amp;$D11&amp;"]["&amp;$F11&amp;"]"</f>
        <v>[S02_CompetentAuthority][3][CAName]</v>
      </c>
    </row>
    <row r="12" spans="1:18" x14ac:dyDescent="0.3">
      <c r="A12" t="s">
        <v>2277</v>
      </c>
      <c r="B12" t="s">
        <v>1749</v>
      </c>
      <c r="C12" t="s">
        <v>1750</v>
      </c>
      <c r="D12">
        <v>1</v>
      </c>
      <c r="E12" t="s">
        <v>1447</v>
      </c>
      <c r="F12" t="s">
        <v>1752</v>
      </c>
      <c r="G12" t="s">
        <v>1741</v>
      </c>
      <c r="H12" t="s">
        <v>2288</v>
      </c>
      <c r="I12" t="s">
        <v>2279</v>
      </c>
      <c r="J12" t="s">
        <v>2279</v>
      </c>
      <c r="K12" t="s">
        <v>2279</v>
      </c>
      <c r="L12" t="s">
        <v>2279</v>
      </c>
      <c r="M12" t="s">
        <v>2279</v>
      </c>
      <c r="N12" t="s">
        <v>2279</v>
      </c>
      <c r="O12" s="190" t="str">
        <f>"["&amp;$C12&amp;"]["&amp;$D12&amp;"]["&amp;$F12&amp;"]"</f>
        <v>[S02_CompetentAuthority][1][CAAbbreviation]</v>
      </c>
    </row>
    <row r="13" spans="1:18" x14ac:dyDescent="0.3">
      <c r="A13" t="s">
        <v>2277</v>
      </c>
      <c r="B13" t="s">
        <v>1749</v>
      </c>
      <c r="C13" t="s">
        <v>1750</v>
      </c>
      <c r="D13">
        <v>2</v>
      </c>
      <c r="E13" t="s">
        <v>1447</v>
      </c>
      <c r="F13" t="s">
        <v>1752</v>
      </c>
      <c r="G13" t="s">
        <v>1741</v>
      </c>
      <c r="H13" t="s">
        <v>2289</v>
      </c>
      <c r="I13" t="s">
        <v>2279</v>
      </c>
      <c r="J13" t="s">
        <v>2279</v>
      </c>
      <c r="K13" t="s">
        <v>2279</v>
      </c>
      <c r="L13" t="s">
        <v>2279</v>
      </c>
      <c r="M13" t="s">
        <v>2279</v>
      </c>
      <c r="N13" t="s">
        <v>2279</v>
      </c>
      <c r="O13" s="190" t="str">
        <f>"["&amp;$C13&amp;"]["&amp;$D13&amp;"]["&amp;$F13&amp;"]"</f>
        <v>[S02_CompetentAuthority][2][CAAbbreviation]</v>
      </c>
    </row>
    <row r="14" spans="1:18" x14ac:dyDescent="0.3">
      <c r="A14" t="s">
        <v>2277</v>
      </c>
      <c r="B14" t="s">
        <v>1749</v>
      </c>
      <c r="C14" t="s">
        <v>1750</v>
      </c>
      <c r="D14">
        <v>3</v>
      </c>
      <c r="E14" t="s">
        <v>1447</v>
      </c>
      <c r="F14" t="s">
        <v>1752</v>
      </c>
      <c r="G14" t="s">
        <v>1741</v>
      </c>
      <c r="H14" t="s">
        <v>2290</v>
      </c>
      <c r="I14" t="s">
        <v>2279</v>
      </c>
      <c r="J14" t="s">
        <v>2279</v>
      </c>
      <c r="K14" t="s">
        <v>2279</v>
      </c>
      <c r="L14" t="s">
        <v>2279</v>
      </c>
      <c r="M14" t="s">
        <v>2279</v>
      </c>
      <c r="N14" t="s">
        <v>2279</v>
      </c>
      <c r="O14" s="190" t="str">
        <f>"["&amp;$C14&amp;"]["&amp;$D14&amp;"]["&amp;$F14&amp;"]"</f>
        <v>[S02_CompetentAuthority][3][CAAbbreviation]</v>
      </c>
    </row>
    <row r="15" spans="1:18" x14ac:dyDescent="0.3">
      <c r="A15" t="s">
        <v>2277</v>
      </c>
      <c r="B15" t="s">
        <v>1749</v>
      </c>
      <c r="C15" t="s">
        <v>1750</v>
      </c>
      <c r="D15">
        <v>1</v>
      </c>
      <c r="E15" t="s">
        <v>1447</v>
      </c>
      <c r="F15" t="s">
        <v>1753</v>
      </c>
      <c r="G15" t="s">
        <v>1741</v>
      </c>
      <c r="H15" t="s">
        <v>1422</v>
      </c>
      <c r="I15" t="s">
        <v>2279</v>
      </c>
      <c r="J15" t="s">
        <v>2279</v>
      </c>
      <c r="K15" t="s">
        <v>2279</v>
      </c>
      <c r="L15" t="s">
        <v>2279</v>
      </c>
      <c r="M15" t="s">
        <v>2279</v>
      </c>
      <c r="N15" t="s">
        <v>2279</v>
      </c>
      <c r="O15" s="190" t="str">
        <f>"["&amp;$C15&amp;"]["&amp;$D15&amp;"]["&amp;$F15&amp;"]"</f>
        <v>[S02_CompetentAuthority][1][CAType]</v>
      </c>
    </row>
    <row r="16" spans="1:18" x14ac:dyDescent="0.3">
      <c r="A16" t="s">
        <v>2277</v>
      </c>
      <c r="B16" t="s">
        <v>1749</v>
      </c>
      <c r="C16" t="s">
        <v>1750</v>
      </c>
      <c r="D16">
        <v>2</v>
      </c>
      <c r="E16" t="s">
        <v>1447</v>
      </c>
      <c r="F16" t="s">
        <v>1753</v>
      </c>
      <c r="G16" t="s">
        <v>1741</v>
      </c>
      <c r="H16" t="s">
        <v>1227</v>
      </c>
      <c r="I16" t="s">
        <v>2279</v>
      </c>
      <c r="J16" t="s">
        <v>2279</v>
      </c>
      <c r="K16" t="s">
        <v>2279</v>
      </c>
      <c r="L16" t="s">
        <v>2279</v>
      </c>
      <c r="M16" t="s">
        <v>2279</v>
      </c>
      <c r="N16" t="s">
        <v>2279</v>
      </c>
      <c r="O16" s="190" t="str">
        <f>"["&amp;$C16&amp;"]["&amp;$D16&amp;"]["&amp;$F16&amp;"]"</f>
        <v>[S02_CompetentAuthority][2][CAType]</v>
      </c>
    </row>
    <row r="17" spans="1:15" x14ac:dyDescent="0.3">
      <c r="A17" t="s">
        <v>2277</v>
      </c>
      <c r="B17" t="s">
        <v>1749</v>
      </c>
      <c r="C17" t="s">
        <v>1750</v>
      </c>
      <c r="D17">
        <v>3</v>
      </c>
      <c r="E17" t="s">
        <v>1447</v>
      </c>
      <c r="F17" t="s">
        <v>1753</v>
      </c>
      <c r="G17" t="s">
        <v>1741</v>
      </c>
      <c r="H17" t="s">
        <v>1227</v>
      </c>
      <c r="I17" t="s">
        <v>2279</v>
      </c>
      <c r="J17" t="s">
        <v>2279</v>
      </c>
      <c r="K17" t="s">
        <v>2279</v>
      </c>
      <c r="L17" t="s">
        <v>2279</v>
      </c>
      <c r="M17" t="s">
        <v>2279</v>
      </c>
      <c r="N17" t="s">
        <v>2279</v>
      </c>
      <c r="O17" s="190" t="str">
        <f>"["&amp;$C17&amp;"]["&amp;$D17&amp;"]["&amp;$F17&amp;"]"</f>
        <v>[S02_CompetentAuthority][3][CAType]</v>
      </c>
    </row>
    <row r="18" spans="1:15" x14ac:dyDescent="0.3">
      <c r="A18" t="s">
        <v>2277</v>
      </c>
      <c r="B18" t="s">
        <v>1749</v>
      </c>
      <c r="C18" t="s">
        <v>1750</v>
      </c>
      <c r="D18">
        <v>1</v>
      </c>
      <c r="E18" t="s">
        <v>1447</v>
      </c>
      <c r="F18" t="s">
        <v>1754</v>
      </c>
      <c r="G18" t="s">
        <v>1741</v>
      </c>
      <c r="H18" t="s">
        <v>2291</v>
      </c>
      <c r="I18" t="s">
        <v>2279</v>
      </c>
      <c r="J18" t="s">
        <v>2279</v>
      </c>
      <c r="K18" t="s">
        <v>2279</v>
      </c>
      <c r="L18" t="s">
        <v>2279</v>
      </c>
      <c r="M18" t="s">
        <v>2279</v>
      </c>
      <c r="N18" t="s">
        <v>2279</v>
      </c>
      <c r="O18" s="190" t="str">
        <f>"["&amp;$C18&amp;"]["&amp;$D18&amp;"]["&amp;$F18&amp;"]"</f>
        <v>[S02_CompetentAuthority][1][CANumber]</v>
      </c>
    </row>
    <row r="19" spans="1:15" x14ac:dyDescent="0.3">
      <c r="A19" t="s">
        <v>2277</v>
      </c>
      <c r="B19" t="s">
        <v>1749</v>
      </c>
      <c r="C19" t="s">
        <v>1750</v>
      </c>
      <c r="D19">
        <v>2</v>
      </c>
      <c r="E19" t="s">
        <v>1447</v>
      </c>
      <c r="F19" t="s">
        <v>1754</v>
      </c>
      <c r="G19" t="s">
        <v>1741</v>
      </c>
      <c r="H19" t="s">
        <v>2291</v>
      </c>
      <c r="I19" t="s">
        <v>2279</v>
      </c>
      <c r="J19" t="s">
        <v>2279</v>
      </c>
      <c r="K19" t="s">
        <v>2279</v>
      </c>
      <c r="L19" t="s">
        <v>2279</v>
      </c>
      <c r="M19" t="s">
        <v>2279</v>
      </c>
      <c r="N19" t="s">
        <v>2279</v>
      </c>
      <c r="O19" s="190" t="str">
        <f>"["&amp;$C19&amp;"]["&amp;$D19&amp;"]["&amp;$F19&amp;"]"</f>
        <v>[S02_CompetentAuthority][2][CANumber]</v>
      </c>
    </row>
    <row r="20" spans="1:15" x14ac:dyDescent="0.3">
      <c r="A20" t="s">
        <v>2277</v>
      </c>
      <c r="B20" t="s">
        <v>1749</v>
      </c>
      <c r="C20" t="s">
        <v>1750</v>
      </c>
      <c r="D20">
        <v>3</v>
      </c>
      <c r="E20" t="s">
        <v>1447</v>
      </c>
      <c r="F20" t="s">
        <v>1754</v>
      </c>
      <c r="G20" t="s">
        <v>1741</v>
      </c>
      <c r="H20" t="s">
        <v>2291</v>
      </c>
      <c r="I20" t="s">
        <v>2279</v>
      </c>
      <c r="J20" t="s">
        <v>2279</v>
      </c>
      <c r="K20" t="s">
        <v>2279</v>
      </c>
      <c r="L20" t="s">
        <v>2279</v>
      </c>
      <c r="M20" t="s">
        <v>2279</v>
      </c>
      <c r="N20" t="s">
        <v>2279</v>
      </c>
      <c r="O20" s="190" t="str">
        <f>"["&amp;$C20&amp;"]["&amp;$D20&amp;"]["&amp;$F20&amp;"]"</f>
        <v>[S02_CompetentAuthority][3][CANumber]</v>
      </c>
    </row>
    <row r="21" spans="1:15" x14ac:dyDescent="0.3">
      <c r="A21" t="s">
        <v>2277</v>
      </c>
      <c r="B21" t="s">
        <v>1749</v>
      </c>
      <c r="C21" t="s">
        <v>1750</v>
      </c>
      <c r="D21">
        <v>1</v>
      </c>
      <c r="E21" t="s">
        <v>1447</v>
      </c>
      <c r="F21" t="s">
        <v>1755</v>
      </c>
      <c r="G21" t="s">
        <v>1741</v>
      </c>
      <c r="H21" t="s">
        <v>2292</v>
      </c>
      <c r="I21" t="s">
        <v>2279</v>
      </c>
      <c r="J21" t="s">
        <v>2279</v>
      </c>
      <c r="K21" t="s">
        <v>2279</v>
      </c>
      <c r="L21" t="s">
        <v>2279</v>
      </c>
      <c r="M21" t="s">
        <v>2279</v>
      </c>
      <c r="N21" t="s">
        <v>2279</v>
      </c>
      <c r="O21" s="190" t="str">
        <f>"["&amp;$C21&amp;"]["&amp;$D21&amp;"]["&amp;$F21&amp;"]"</f>
        <v>[S02_CompetentAuthority][1][CATelephone]</v>
      </c>
    </row>
    <row r="22" spans="1:15" x14ac:dyDescent="0.3">
      <c r="A22" t="s">
        <v>2277</v>
      </c>
      <c r="B22" t="s">
        <v>1749</v>
      </c>
      <c r="C22" t="s">
        <v>1750</v>
      </c>
      <c r="D22">
        <v>2</v>
      </c>
      <c r="E22" t="s">
        <v>1447</v>
      </c>
      <c r="F22" t="s">
        <v>1755</v>
      </c>
      <c r="G22" t="s">
        <v>1741</v>
      </c>
      <c r="H22" t="s">
        <v>2293</v>
      </c>
      <c r="I22" t="s">
        <v>2279</v>
      </c>
      <c r="J22" t="s">
        <v>2279</v>
      </c>
      <c r="K22" t="s">
        <v>2279</v>
      </c>
      <c r="L22" t="s">
        <v>2279</v>
      </c>
      <c r="M22" t="s">
        <v>2279</v>
      </c>
      <c r="N22" t="s">
        <v>2279</v>
      </c>
      <c r="O22" s="190" t="str">
        <f>"["&amp;$C22&amp;"]["&amp;$D22&amp;"]["&amp;$F22&amp;"]"</f>
        <v>[S02_CompetentAuthority][2][CATelephone]</v>
      </c>
    </row>
    <row r="23" spans="1:15" x14ac:dyDescent="0.3">
      <c r="A23" t="s">
        <v>2277</v>
      </c>
      <c r="B23" t="s">
        <v>1749</v>
      </c>
      <c r="C23" t="s">
        <v>1750</v>
      </c>
      <c r="D23">
        <v>3</v>
      </c>
      <c r="E23" t="s">
        <v>1447</v>
      </c>
      <c r="F23" t="s">
        <v>1755</v>
      </c>
      <c r="G23" t="s">
        <v>1741</v>
      </c>
      <c r="H23" t="s">
        <v>2294</v>
      </c>
      <c r="I23" t="s">
        <v>2279</v>
      </c>
      <c r="J23" t="s">
        <v>2279</v>
      </c>
      <c r="K23" t="s">
        <v>2279</v>
      </c>
      <c r="L23" t="s">
        <v>2279</v>
      </c>
      <c r="M23" t="s">
        <v>2279</v>
      </c>
      <c r="N23" t="s">
        <v>2279</v>
      </c>
      <c r="O23" s="190" t="str">
        <f>"["&amp;$C23&amp;"]["&amp;$D23&amp;"]["&amp;$F23&amp;"]"</f>
        <v>[S02_CompetentAuthority][3][CATelephone]</v>
      </c>
    </row>
    <row r="24" spans="1:15" x14ac:dyDescent="0.3">
      <c r="A24" t="s">
        <v>2277</v>
      </c>
      <c r="B24" t="s">
        <v>1749</v>
      </c>
      <c r="C24" t="s">
        <v>1750</v>
      </c>
      <c r="D24">
        <v>1</v>
      </c>
      <c r="E24" t="s">
        <v>1447</v>
      </c>
      <c r="F24" t="s">
        <v>1756</v>
      </c>
      <c r="G24" t="s">
        <v>1741</v>
      </c>
      <c r="H24" t="s">
        <v>2295</v>
      </c>
      <c r="I24" t="s">
        <v>2279</v>
      </c>
      <c r="J24" t="s">
        <v>2279</v>
      </c>
      <c r="K24" t="s">
        <v>2279</v>
      </c>
      <c r="L24" t="s">
        <v>2279</v>
      </c>
      <c r="M24" t="s">
        <v>2279</v>
      </c>
      <c r="N24" t="s">
        <v>2279</v>
      </c>
      <c r="O24" s="190" t="str">
        <f>"["&amp;$C24&amp;"]["&amp;$D24&amp;"]["&amp;$F24&amp;"]"</f>
        <v>[S02_CompetentAuthority][1][CAEmail]</v>
      </c>
    </row>
    <row r="25" spans="1:15" x14ac:dyDescent="0.3">
      <c r="A25" t="s">
        <v>2277</v>
      </c>
      <c r="B25" t="s">
        <v>1749</v>
      </c>
      <c r="C25" t="s">
        <v>1750</v>
      </c>
      <c r="D25">
        <v>2</v>
      </c>
      <c r="E25" t="s">
        <v>1447</v>
      </c>
      <c r="F25" t="s">
        <v>1756</v>
      </c>
      <c r="G25" t="s">
        <v>1741</v>
      </c>
      <c r="H25" t="s">
        <v>2296</v>
      </c>
      <c r="I25" t="s">
        <v>2279</v>
      </c>
      <c r="J25" t="s">
        <v>2279</v>
      </c>
      <c r="K25" t="s">
        <v>2279</v>
      </c>
      <c r="L25" t="s">
        <v>2279</v>
      </c>
      <c r="M25" t="s">
        <v>2279</v>
      </c>
      <c r="N25" t="s">
        <v>2279</v>
      </c>
      <c r="O25" s="190" t="str">
        <f>"["&amp;$C25&amp;"]["&amp;$D25&amp;"]["&amp;$F25&amp;"]"</f>
        <v>[S02_CompetentAuthority][2][CAEmail]</v>
      </c>
    </row>
    <row r="26" spans="1:15" x14ac:dyDescent="0.3">
      <c r="A26" t="s">
        <v>2277</v>
      </c>
      <c r="B26" t="s">
        <v>1749</v>
      </c>
      <c r="C26" t="s">
        <v>1750</v>
      </c>
      <c r="D26">
        <v>3</v>
      </c>
      <c r="E26" t="s">
        <v>1447</v>
      </c>
      <c r="F26" t="s">
        <v>1756</v>
      </c>
      <c r="G26" t="s">
        <v>1741</v>
      </c>
      <c r="H26" t="s">
        <v>2297</v>
      </c>
      <c r="I26" t="s">
        <v>2279</v>
      </c>
      <c r="J26" t="s">
        <v>2279</v>
      </c>
      <c r="K26" t="s">
        <v>2279</v>
      </c>
      <c r="L26" t="s">
        <v>2279</v>
      </c>
      <c r="M26" t="s">
        <v>2279</v>
      </c>
      <c r="N26" t="s">
        <v>2279</v>
      </c>
      <c r="O26" s="190" t="str">
        <f>"["&amp;$C26&amp;"]["&amp;$D26&amp;"]["&amp;$F26&amp;"]"</f>
        <v>[S02_CompetentAuthority][3][CAEmail]</v>
      </c>
    </row>
    <row r="27" spans="1:15" x14ac:dyDescent="0.3">
      <c r="A27" t="s">
        <v>2277</v>
      </c>
      <c r="B27" t="s">
        <v>1749</v>
      </c>
      <c r="C27" t="s">
        <v>1750</v>
      </c>
      <c r="D27">
        <v>1</v>
      </c>
      <c r="E27" t="s">
        <v>1447</v>
      </c>
      <c r="F27" t="s">
        <v>1757</v>
      </c>
      <c r="G27" t="s">
        <v>1741</v>
      </c>
      <c r="H27" t="s">
        <v>2298</v>
      </c>
      <c r="I27" t="s">
        <v>2279</v>
      </c>
      <c r="J27" t="s">
        <v>2279</v>
      </c>
      <c r="K27" t="s">
        <v>2279</v>
      </c>
      <c r="L27" t="s">
        <v>2279</v>
      </c>
      <c r="M27" t="s">
        <v>2279</v>
      </c>
      <c r="N27" t="s">
        <v>2279</v>
      </c>
      <c r="O27" s="190" t="str">
        <f>"["&amp;$C27&amp;"]["&amp;$D27&amp;"]["&amp;$F27&amp;"]"</f>
        <v>[S02_CompetentAuthority][1][CAWebsite]</v>
      </c>
    </row>
    <row r="28" spans="1:15" x14ac:dyDescent="0.3">
      <c r="A28" t="s">
        <v>2277</v>
      </c>
      <c r="B28" t="s">
        <v>1749</v>
      </c>
      <c r="C28" t="s">
        <v>1750</v>
      </c>
      <c r="D28">
        <v>2</v>
      </c>
      <c r="E28" t="s">
        <v>1447</v>
      </c>
      <c r="F28" t="s">
        <v>1757</v>
      </c>
      <c r="G28" t="s">
        <v>1741</v>
      </c>
      <c r="H28" t="s">
        <v>2299</v>
      </c>
      <c r="I28" t="s">
        <v>2279</v>
      </c>
      <c r="J28" t="s">
        <v>2279</v>
      </c>
      <c r="K28" t="s">
        <v>2279</v>
      </c>
      <c r="L28" t="s">
        <v>2279</v>
      </c>
      <c r="M28" t="s">
        <v>2279</v>
      </c>
      <c r="N28" t="s">
        <v>2279</v>
      </c>
      <c r="O28" s="190" t="str">
        <f>"["&amp;$C28&amp;"]["&amp;$D28&amp;"]["&amp;$F28&amp;"]"</f>
        <v>[S02_CompetentAuthority][2][CAWebsite]</v>
      </c>
    </row>
    <row r="29" spans="1:15" x14ac:dyDescent="0.3">
      <c r="A29" t="s">
        <v>2277</v>
      </c>
      <c r="B29" t="s">
        <v>1749</v>
      </c>
      <c r="C29" t="s">
        <v>1750</v>
      </c>
      <c r="D29">
        <v>3</v>
      </c>
      <c r="E29" t="s">
        <v>1447</v>
      </c>
      <c r="F29" t="s">
        <v>1757</v>
      </c>
      <c r="G29" t="s">
        <v>1741</v>
      </c>
      <c r="H29" t="s">
        <v>2300</v>
      </c>
      <c r="I29" t="s">
        <v>2279</v>
      </c>
      <c r="J29" t="s">
        <v>2279</v>
      </c>
      <c r="K29" t="s">
        <v>2279</v>
      </c>
      <c r="L29" t="s">
        <v>2279</v>
      </c>
      <c r="M29" t="s">
        <v>2279</v>
      </c>
      <c r="N29" t="s">
        <v>2279</v>
      </c>
      <c r="O29" s="190" t="str">
        <f>"["&amp;$C29&amp;"]["&amp;$D29&amp;"]["&amp;$F29&amp;"]"</f>
        <v>[S02_CompetentAuthority][3][CAWebsite]</v>
      </c>
    </row>
    <row r="30" spans="1:15" x14ac:dyDescent="0.3">
      <c r="A30" t="s">
        <v>2277</v>
      </c>
      <c r="B30" t="s">
        <v>1749</v>
      </c>
      <c r="C30" t="s">
        <v>1758</v>
      </c>
      <c r="D30">
        <v>0</v>
      </c>
      <c r="E30" t="s">
        <v>1447</v>
      </c>
      <c r="F30" t="s">
        <v>1758</v>
      </c>
      <c r="G30" t="s">
        <v>1759</v>
      </c>
      <c r="H30" t="s">
        <v>2279</v>
      </c>
      <c r="I30" t="s">
        <v>2279</v>
      </c>
      <c r="J30" t="s">
        <v>2279</v>
      </c>
      <c r="K30" t="s">
        <v>2279</v>
      </c>
      <c r="L30" t="s">
        <v>1419</v>
      </c>
      <c r="M30" t="s">
        <v>2279</v>
      </c>
      <c r="N30" t="s">
        <v>2279</v>
      </c>
      <c r="O30" s="190" t="str">
        <f>"["&amp;$C30&amp;"]["&amp;$D30&amp;"]["&amp;$F30&amp;"]"</f>
        <v>[S02_AccreditationBodyYesNo][0][S02_AccreditationBodyYesNo]</v>
      </c>
    </row>
    <row r="31" spans="1:15" x14ac:dyDescent="0.3">
      <c r="A31" t="s">
        <v>2277</v>
      </c>
      <c r="B31" t="s">
        <v>1749</v>
      </c>
      <c r="C31" t="s">
        <v>1760</v>
      </c>
      <c r="D31">
        <v>1</v>
      </c>
      <c r="E31" t="s">
        <v>1447</v>
      </c>
      <c r="F31" t="s">
        <v>1761</v>
      </c>
      <c r="G31" t="s">
        <v>1741</v>
      </c>
      <c r="H31" t="s">
        <v>2301</v>
      </c>
      <c r="I31" t="s">
        <v>2279</v>
      </c>
      <c r="J31" t="s">
        <v>2279</v>
      </c>
      <c r="K31" t="s">
        <v>2279</v>
      </c>
      <c r="L31" t="s">
        <v>2279</v>
      </c>
      <c r="M31" t="s">
        <v>2279</v>
      </c>
      <c r="N31" t="s">
        <v>2279</v>
      </c>
      <c r="O31" s="190" t="str">
        <f>"["&amp;$C31&amp;"]["&amp;$D31&amp;"]["&amp;$F31&amp;"]"</f>
        <v>[S02_AccreditationBody][1][AccBodyName]</v>
      </c>
    </row>
    <row r="32" spans="1:15" x14ac:dyDescent="0.3">
      <c r="A32" t="s">
        <v>2277</v>
      </c>
      <c r="B32" t="s">
        <v>1749</v>
      </c>
      <c r="C32" t="s">
        <v>1760</v>
      </c>
      <c r="D32">
        <v>1</v>
      </c>
      <c r="E32" t="s">
        <v>1447</v>
      </c>
      <c r="F32" t="s">
        <v>1762</v>
      </c>
      <c r="G32" t="s">
        <v>1741</v>
      </c>
      <c r="H32" t="s">
        <v>2302</v>
      </c>
      <c r="I32" t="s">
        <v>2279</v>
      </c>
      <c r="J32" t="s">
        <v>2279</v>
      </c>
      <c r="K32" t="s">
        <v>2279</v>
      </c>
      <c r="L32" t="s">
        <v>2279</v>
      </c>
      <c r="M32" t="s">
        <v>2279</v>
      </c>
      <c r="N32" t="s">
        <v>2279</v>
      </c>
      <c r="O32" s="190" t="str">
        <f>"["&amp;$C32&amp;"]["&amp;$D32&amp;"]["&amp;$F32&amp;"]"</f>
        <v>[S02_AccreditationBody][1][AccBodyAbbreviation]</v>
      </c>
    </row>
    <row r="33" spans="1:15" x14ac:dyDescent="0.3">
      <c r="A33" t="s">
        <v>2277</v>
      </c>
      <c r="B33" t="s">
        <v>1749</v>
      </c>
      <c r="C33" t="s">
        <v>1760</v>
      </c>
      <c r="D33">
        <v>1</v>
      </c>
      <c r="E33" t="s">
        <v>1447</v>
      </c>
      <c r="F33" t="s">
        <v>1763</v>
      </c>
      <c r="G33" t="s">
        <v>1741</v>
      </c>
      <c r="H33" t="s">
        <v>2303</v>
      </c>
      <c r="I33" t="s">
        <v>2279</v>
      </c>
      <c r="J33" t="s">
        <v>2279</v>
      </c>
      <c r="K33" t="s">
        <v>2279</v>
      </c>
      <c r="L33" t="s">
        <v>2279</v>
      </c>
      <c r="M33" t="s">
        <v>2279</v>
      </c>
      <c r="N33" t="s">
        <v>2279</v>
      </c>
      <c r="O33" s="190" t="str">
        <f>"["&amp;$C33&amp;"]["&amp;$D33&amp;"]["&amp;$F33&amp;"]"</f>
        <v>[S02_AccreditationBody][1][AccBodyTelephone]</v>
      </c>
    </row>
    <row r="34" spans="1:15" x14ac:dyDescent="0.3">
      <c r="A34" t="s">
        <v>2277</v>
      </c>
      <c r="B34" t="s">
        <v>1749</v>
      </c>
      <c r="C34" t="s">
        <v>1760</v>
      </c>
      <c r="D34">
        <v>1</v>
      </c>
      <c r="E34" t="s">
        <v>1447</v>
      </c>
      <c r="F34" t="s">
        <v>1764</v>
      </c>
      <c r="G34" t="s">
        <v>1741</v>
      </c>
      <c r="H34" t="s">
        <v>2304</v>
      </c>
      <c r="I34" t="s">
        <v>2279</v>
      </c>
      <c r="J34" t="s">
        <v>2279</v>
      </c>
      <c r="K34" t="s">
        <v>2279</v>
      </c>
      <c r="L34" t="s">
        <v>2279</v>
      </c>
      <c r="M34" t="s">
        <v>2279</v>
      </c>
      <c r="N34" t="s">
        <v>2279</v>
      </c>
      <c r="O34" s="190" t="str">
        <f>"["&amp;$C34&amp;"]["&amp;$D34&amp;"]["&amp;$F34&amp;"]"</f>
        <v>[S02_AccreditationBody][1][AccBodyEmail]</v>
      </c>
    </row>
    <row r="35" spans="1:15" x14ac:dyDescent="0.3">
      <c r="A35" t="s">
        <v>2277</v>
      </c>
      <c r="B35" t="s">
        <v>1749</v>
      </c>
      <c r="C35" t="s">
        <v>1760</v>
      </c>
      <c r="D35">
        <v>1</v>
      </c>
      <c r="E35" t="s">
        <v>1447</v>
      </c>
      <c r="F35" t="s">
        <v>1765</v>
      </c>
      <c r="G35" t="s">
        <v>1741</v>
      </c>
      <c r="H35" t="s">
        <v>2305</v>
      </c>
      <c r="I35" t="s">
        <v>2279</v>
      </c>
      <c r="J35" t="s">
        <v>2279</v>
      </c>
      <c r="K35" t="s">
        <v>2279</v>
      </c>
      <c r="L35" t="s">
        <v>2279</v>
      </c>
      <c r="M35" t="s">
        <v>2279</v>
      </c>
      <c r="N35" t="s">
        <v>2279</v>
      </c>
      <c r="O35" s="190" t="str">
        <f>"["&amp;$C35&amp;"]["&amp;$D35&amp;"]["&amp;$F35&amp;"]"</f>
        <v>[S02_AccreditationBody][1][AccBodyWebsite]</v>
      </c>
    </row>
    <row r="36" spans="1:15" x14ac:dyDescent="0.3">
      <c r="A36" t="s">
        <v>2277</v>
      </c>
      <c r="B36" t="s">
        <v>1749</v>
      </c>
      <c r="C36" t="s">
        <v>1766</v>
      </c>
      <c r="D36">
        <v>0</v>
      </c>
      <c r="E36" t="s">
        <v>1447</v>
      </c>
      <c r="F36" t="s">
        <v>1766</v>
      </c>
      <c r="G36" t="s">
        <v>1759</v>
      </c>
      <c r="H36" t="s">
        <v>2279</v>
      </c>
      <c r="I36" t="s">
        <v>2279</v>
      </c>
      <c r="J36" t="s">
        <v>2279</v>
      </c>
      <c r="K36" t="s">
        <v>2279</v>
      </c>
      <c r="L36" t="s">
        <v>1447</v>
      </c>
      <c r="M36" t="s">
        <v>2279</v>
      </c>
      <c r="N36" t="s">
        <v>2279</v>
      </c>
      <c r="O36" s="190" t="str">
        <f>"["&amp;$C36&amp;"]["&amp;$D36&amp;"]["&amp;$F36&amp;"]"</f>
        <v>[CertificationBodySetUp][0][CertificationBodySetUp]</v>
      </c>
    </row>
    <row r="37" spans="1:15" x14ac:dyDescent="0.3">
      <c r="A37" t="s">
        <v>2277</v>
      </c>
      <c r="B37" t="s">
        <v>1749</v>
      </c>
      <c r="C37" t="s">
        <v>1773</v>
      </c>
      <c r="D37">
        <v>1</v>
      </c>
      <c r="E37" t="s">
        <v>1447</v>
      </c>
      <c r="F37" t="s">
        <v>1774</v>
      </c>
      <c r="G37" t="s">
        <v>1741</v>
      </c>
      <c r="H37" t="s">
        <v>2286</v>
      </c>
      <c r="I37" t="s">
        <v>2279</v>
      </c>
      <c r="J37" t="s">
        <v>2279</v>
      </c>
      <c r="K37" t="s">
        <v>2279</v>
      </c>
      <c r="L37" t="s">
        <v>2279</v>
      </c>
      <c r="M37" t="s">
        <v>2279</v>
      </c>
      <c r="N37" t="s">
        <v>2279</v>
      </c>
      <c r="O37" s="190" t="str">
        <f>"["&amp;$C37&amp;"]["&amp;$D37&amp;"]["&amp;$F37&amp;"]"</f>
        <v>[S02_RegistryAdministrator][1][RegAdminName]</v>
      </c>
    </row>
    <row r="38" spans="1:15" x14ac:dyDescent="0.3">
      <c r="A38" t="s">
        <v>2277</v>
      </c>
      <c r="B38" t="s">
        <v>1749</v>
      </c>
      <c r="C38" t="s">
        <v>1773</v>
      </c>
      <c r="D38">
        <v>1</v>
      </c>
      <c r="E38" t="s">
        <v>1447</v>
      </c>
      <c r="F38" t="s">
        <v>1775</v>
      </c>
      <c r="G38" t="s">
        <v>1741</v>
      </c>
      <c r="H38" t="s">
        <v>2289</v>
      </c>
      <c r="I38" t="s">
        <v>2279</v>
      </c>
      <c r="J38" t="s">
        <v>2279</v>
      </c>
      <c r="K38" t="s">
        <v>2279</v>
      </c>
      <c r="L38" t="s">
        <v>2279</v>
      </c>
      <c r="M38" t="s">
        <v>2279</v>
      </c>
      <c r="N38" t="s">
        <v>2279</v>
      </c>
      <c r="O38" s="190" t="str">
        <f>"["&amp;$C38&amp;"]["&amp;$D38&amp;"]["&amp;$F38&amp;"]"</f>
        <v>[S02_RegistryAdministrator][1][RegAdminAbbreviation]</v>
      </c>
    </row>
    <row r="39" spans="1:15" x14ac:dyDescent="0.3">
      <c r="A39" t="s">
        <v>2277</v>
      </c>
      <c r="B39" t="s">
        <v>1749</v>
      </c>
      <c r="C39" t="s">
        <v>1773</v>
      </c>
      <c r="D39">
        <v>1</v>
      </c>
      <c r="E39" t="s">
        <v>1447</v>
      </c>
      <c r="F39" t="s">
        <v>1776</v>
      </c>
      <c r="G39" t="s">
        <v>1741</v>
      </c>
      <c r="H39" t="s">
        <v>2293</v>
      </c>
      <c r="I39" t="s">
        <v>2279</v>
      </c>
      <c r="J39" t="s">
        <v>2279</v>
      </c>
      <c r="K39" t="s">
        <v>2279</v>
      </c>
      <c r="L39" t="s">
        <v>2279</v>
      </c>
      <c r="M39" t="s">
        <v>2279</v>
      </c>
      <c r="N39" t="s">
        <v>2279</v>
      </c>
      <c r="O39" s="190" t="str">
        <f>"["&amp;$C39&amp;"]["&amp;$D39&amp;"]["&amp;$F39&amp;"]"</f>
        <v>[S02_RegistryAdministrator][1][RegAdminTelephone]</v>
      </c>
    </row>
    <row r="40" spans="1:15" x14ac:dyDescent="0.3">
      <c r="A40" t="s">
        <v>2277</v>
      </c>
      <c r="B40" t="s">
        <v>1749</v>
      </c>
      <c r="C40" t="s">
        <v>1773</v>
      </c>
      <c r="D40">
        <v>1</v>
      </c>
      <c r="E40" t="s">
        <v>1447</v>
      </c>
      <c r="F40" t="s">
        <v>1777</v>
      </c>
      <c r="G40" t="s">
        <v>1741</v>
      </c>
      <c r="H40" t="s">
        <v>2296</v>
      </c>
      <c r="I40" t="s">
        <v>2279</v>
      </c>
      <c r="J40" t="s">
        <v>2279</v>
      </c>
      <c r="K40" t="s">
        <v>2279</v>
      </c>
      <c r="L40" t="s">
        <v>2279</v>
      </c>
      <c r="M40" t="s">
        <v>2279</v>
      </c>
      <c r="N40" t="s">
        <v>2279</v>
      </c>
      <c r="O40" s="190" t="str">
        <f>"["&amp;$C40&amp;"]["&amp;$D40&amp;"]["&amp;$F40&amp;"]"</f>
        <v>[S02_RegistryAdministrator][1][RegAdminEmail]</v>
      </c>
    </row>
    <row r="41" spans="1:15" x14ac:dyDescent="0.3">
      <c r="A41" t="s">
        <v>2277</v>
      </c>
      <c r="B41" t="s">
        <v>1749</v>
      </c>
      <c r="C41" t="s">
        <v>1773</v>
      </c>
      <c r="D41">
        <v>1</v>
      </c>
      <c r="E41" t="s">
        <v>1447</v>
      </c>
      <c r="F41" t="s">
        <v>1778</v>
      </c>
      <c r="G41" t="s">
        <v>1741</v>
      </c>
      <c r="H41" t="s">
        <v>2299</v>
      </c>
      <c r="I41" t="s">
        <v>2279</v>
      </c>
      <c r="J41" t="s">
        <v>2279</v>
      </c>
      <c r="K41" t="s">
        <v>2279</v>
      </c>
      <c r="L41" t="s">
        <v>2279</v>
      </c>
      <c r="M41" t="s">
        <v>2279</v>
      </c>
      <c r="N41" t="s">
        <v>2279</v>
      </c>
      <c r="O41" s="190" t="str">
        <f>"["&amp;$C41&amp;"]["&amp;$D41&amp;"]["&amp;$F41&amp;"]"</f>
        <v>[S02_RegistryAdministrator][1][RegAdminWebsite]</v>
      </c>
    </row>
    <row r="42" spans="1:15" x14ac:dyDescent="0.3">
      <c r="A42" t="s">
        <v>2277</v>
      </c>
      <c r="B42" t="s">
        <v>1779</v>
      </c>
      <c r="C42" t="s">
        <v>1780</v>
      </c>
      <c r="D42">
        <v>1</v>
      </c>
      <c r="E42" t="s">
        <v>1447</v>
      </c>
      <c r="F42" t="s">
        <v>1781</v>
      </c>
      <c r="G42" t="s">
        <v>1741</v>
      </c>
      <c r="H42" t="s">
        <v>2288</v>
      </c>
      <c r="I42" t="s">
        <v>2279</v>
      </c>
      <c r="J42" t="s">
        <v>2279</v>
      </c>
      <c r="K42" t="s">
        <v>2279</v>
      </c>
      <c r="L42" t="s">
        <v>2279</v>
      </c>
      <c r="M42" t="s">
        <v>2279</v>
      </c>
      <c r="N42" t="s">
        <v>2279</v>
      </c>
      <c r="O42" s="190" t="str">
        <f>"["&amp;$C42&amp;"]["&amp;$D42&amp;"]["&amp;$F42&amp;"]"</f>
        <v>[S02_CompetentAuthorityRoles][1][CAForInstallationTask]</v>
      </c>
    </row>
    <row r="43" spans="1:15" x14ac:dyDescent="0.3">
      <c r="A43" t="s">
        <v>2277</v>
      </c>
      <c r="B43" t="s">
        <v>1779</v>
      </c>
      <c r="C43" t="s">
        <v>1780</v>
      </c>
      <c r="D43">
        <v>2</v>
      </c>
      <c r="E43" t="s">
        <v>1447</v>
      </c>
      <c r="F43" t="s">
        <v>1781</v>
      </c>
      <c r="G43" t="s">
        <v>1741</v>
      </c>
      <c r="H43" t="s">
        <v>2288</v>
      </c>
      <c r="I43" t="s">
        <v>2279</v>
      </c>
      <c r="J43" t="s">
        <v>2279</v>
      </c>
      <c r="K43" t="s">
        <v>2279</v>
      </c>
      <c r="L43" t="s">
        <v>2279</v>
      </c>
      <c r="M43" t="s">
        <v>2279</v>
      </c>
      <c r="N43" t="s">
        <v>2279</v>
      </c>
      <c r="O43" s="190" t="str">
        <f>"["&amp;$C43&amp;"]["&amp;$D43&amp;"]["&amp;$F43&amp;"]"</f>
        <v>[S02_CompetentAuthorityRoles][2][CAForInstallationTask]</v>
      </c>
    </row>
    <row r="44" spans="1:15" x14ac:dyDescent="0.3">
      <c r="A44" t="s">
        <v>2277</v>
      </c>
      <c r="B44" t="s">
        <v>1779</v>
      </c>
      <c r="C44" t="s">
        <v>1780</v>
      </c>
      <c r="D44">
        <v>3</v>
      </c>
      <c r="E44" t="s">
        <v>1447</v>
      </c>
      <c r="F44" t="s">
        <v>1781</v>
      </c>
      <c r="G44" t="s">
        <v>1741</v>
      </c>
      <c r="H44" t="s">
        <v>2288</v>
      </c>
      <c r="I44" t="s">
        <v>2279</v>
      </c>
      <c r="J44" t="s">
        <v>2279</v>
      </c>
      <c r="K44" t="s">
        <v>2279</v>
      </c>
      <c r="L44" t="s">
        <v>2279</v>
      </c>
      <c r="M44" t="s">
        <v>2279</v>
      </c>
      <c r="N44" t="s">
        <v>2279</v>
      </c>
      <c r="O44" s="190" t="str">
        <f>"["&amp;$C44&amp;"]["&amp;$D44&amp;"]["&amp;$F44&amp;"]"</f>
        <v>[S02_CompetentAuthorityRoles][3][CAForInstallationTask]</v>
      </c>
    </row>
    <row r="45" spans="1:15" x14ac:dyDescent="0.3">
      <c r="A45" t="s">
        <v>2277</v>
      </c>
      <c r="B45" t="s">
        <v>1779</v>
      </c>
      <c r="C45" t="s">
        <v>1780</v>
      </c>
      <c r="D45">
        <v>4</v>
      </c>
      <c r="E45" t="s">
        <v>1447</v>
      </c>
      <c r="F45" t="s">
        <v>1781</v>
      </c>
      <c r="G45" t="s">
        <v>1741</v>
      </c>
      <c r="H45" t="s">
        <v>2288</v>
      </c>
      <c r="I45" t="s">
        <v>2279</v>
      </c>
      <c r="J45" t="s">
        <v>2279</v>
      </c>
      <c r="K45" t="s">
        <v>2279</v>
      </c>
      <c r="L45" t="s">
        <v>2279</v>
      </c>
      <c r="M45" t="s">
        <v>2279</v>
      </c>
      <c r="N45" t="s">
        <v>2279</v>
      </c>
      <c r="O45" s="190" t="str">
        <f>"["&amp;$C45&amp;"]["&amp;$D45&amp;"]["&amp;$F45&amp;"]"</f>
        <v>[S02_CompetentAuthorityRoles][4][CAForInstallationTask]</v>
      </c>
    </row>
    <row r="46" spans="1:15" x14ac:dyDescent="0.3">
      <c r="A46" t="s">
        <v>2277</v>
      </c>
      <c r="B46" t="s">
        <v>1779</v>
      </c>
      <c r="C46" t="s">
        <v>1780</v>
      </c>
      <c r="D46">
        <v>6</v>
      </c>
      <c r="E46" t="s">
        <v>1447</v>
      </c>
      <c r="F46" t="s">
        <v>1781</v>
      </c>
      <c r="G46" t="s">
        <v>1741</v>
      </c>
      <c r="H46" t="s">
        <v>2289</v>
      </c>
      <c r="I46" t="s">
        <v>2279</v>
      </c>
      <c r="J46" t="s">
        <v>2279</v>
      </c>
      <c r="K46" t="s">
        <v>2279</v>
      </c>
      <c r="L46" t="s">
        <v>2279</v>
      </c>
      <c r="M46" t="s">
        <v>2279</v>
      </c>
      <c r="N46" t="s">
        <v>2279</v>
      </c>
      <c r="O46" s="190" t="str">
        <f>"["&amp;$C46&amp;"]["&amp;$D46&amp;"]["&amp;$F46&amp;"]"</f>
        <v>[S02_CompetentAuthorityRoles][6][CAForInstallationTask]</v>
      </c>
    </row>
    <row r="47" spans="1:15" x14ac:dyDescent="0.3">
      <c r="A47" t="s">
        <v>2277</v>
      </c>
      <c r="B47" t="s">
        <v>1779</v>
      </c>
      <c r="C47" t="s">
        <v>1780</v>
      </c>
      <c r="D47">
        <v>7</v>
      </c>
      <c r="E47" t="s">
        <v>1447</v>
      </c>
      <c r="F47" t="s">
        <v>1781</v>
      </c>
      <c r="G47" t="s">
        <v>1741</v>
      </c>
      <c r="H47" t="s">
        <v>2306</v>
      </c>
      <c r="I47" t="s">
        <v>2279</v>
      </c>
      <c r="J47" t="s">
        <v>2279</v>
      </c>
      <c r="K47" t="s">
        <v>2279</v>
      </c>
      <c r="L47" t="s">
        <v>2279</v>
      </c>
      <c r="M47" t="s">
        <v>2279</v>
      </c>
      <c r="N47" t="s">
        <v>2279</v>
      </c>
      <c r="O47" s="190" t="str">
        <f>"["&amp;$C47&amp;"]["&amp;$D47&amp;"]["&amp;$F47&amp;"]"</f>
        <v>[S02_CompetentAuthorityRoles][7][CAForInstallationTask]</v>
      </c>
    </row>
    <row r="48" spans="1:15" x14ac:dyDescent="0.3">
      <c r="A48" t="s">
        <v>2277</v>
      </c>
      <c r="B48" t="s">
        <v>1779</v>
      </c>
      <c r="C48" t="s">
        <v>1780</v>
      </c>
      <c r="D48">
        <v>8</v>
      </c>
      <c r="E48" t="s">
        <v>1447</v>
      </c>
      <c r="F48" t="s">
        <v>1781</v>
      </c>
      <c r="G48" t="s">
        <v>1741</v>
      </c>
      <c r="H48" t="s">
        <v>2288</v>
      </c>
      <c r="I48" t="s">
        <v>2279</v>
      </c>
      <c r="J48" t="s">
        <v>2279</v>
      </c>
      <c r="K48" t="s">
        <v>2279</v>
      </c>
      <c r="L48" t="s">
        <v>2279</v>
      </c>
      <c r="M48" t="s">
        <v>2279</v>
      </c>
      <c r="N48" t="s">
        <v>2279</v>
      </c>
      <c r="O48" s="190" t="str">
        <f>"["&amp;$C48&amp;"]["&amp;$D48&amp;"]["&amp;$F48&amp;"]"</f>
        <v>[S02_CompetentAuthorityRoles][8][CAForInstallationTask]</v>
      </c>
    </row>
    <row r="49" spans="1:15" x14ac:dyDescent="0.3">
      <c r="A49" t="s">
        <v>2277</v>
      </c>
      <c r="B49" t="s">
        <v>1779</v>
      </c>
      <c r="C49" t="s">
        <v>1780</v>
      </c>
      <c r="D49">
        <v>9</v>
      </c>
      <c r="E49" t="s">
        <v>1447</v>
      </c>
      <c r="F49" t="s">
        <v>1781</v>
      </c>
      <c r="G49" t="s">
        <v>1741</v>
      </c>
      <c r="H49" t="s">
        <v>2288</v>
      </c>
      <c r="I49" t="s">
        <v>2279</v>
      </c>
      <c r="J49" t="s">
        <v>2279</v>
      </c>
      <c r="K49" t="s">
        <v>2279</v>
      </c>
      <c r="L49" t="s">
        <v>2279</v>
      </c>
      <c r="M49" t="s">
        <v>2279</v>
      </c>
      <c r="N49" t="s">
        <v>2279</v>
      </c>
      <c r="O49" s="190" t="str">
        <f>"["&amp;$C49&amp;"]["&amp;$D49&amp;"]["&amp;$F49&amp;"]"</f>
        <v>[S02_CompetentAuthorityRoles][9][CAForInstallationTask]</v>
      </c>
    </row>
    <row r="50" spans="1:15" x14ac:dyDescent="0.3">
      <c r="A50" t="s">
        <v>2277</v>
      </c>
      <c r="B50" t="s">
        <v>1779</v>
      </c>
      <c r="C50" t="s">
        <v>1780</v>
      </c>
      <c r="D50">
        <v>10</v>
      </c>
      <c r="E50" t="s">
        <v>1447</v>
      </c>
      <c r="F50" t="s">
        <v>1781</v>
      </c>
      <c r="G50" t="s">
        <v>1741</v>
      </c>
      <c r="H50" t="s">
        <v>2288</v>
      </c>
      <c r="I50" t="s">
        <v>2279</v>
      </c>
      <c r="J50" t="s">
        <v>2279</v>
      </c>
      <c r="K50" t="s">
        <v>2279</v>
      </c>
      <c r="L50" t="s">
        <v>2279</v>
      </c>
      <c r="M50" t="s">
        <v>2279</v>
      </c>
      <c r="N50" t="s">
        <v>2279</v>
      </c>
      <c r="O50" s="190" t="str">
        <f>"["&amp;$C50&amp;"]["&amp;$D50&amp;"]["&amp;$F50&amp;"]"</f>
        <v>[S02_CompetentAuthorityRoles][10][CAForInstallationTask]</v>
      </c>
    </row>
    <row r="51" spans="1:15" x14ac:dyDescent="0.3">
      <c r="A51" t="s">
        <v>2277</v>
      </c>
      <c r="B51" t="s">
        <v>1779</v>
      </c>
      <c r="C51" t="s">
        <v>1780</v>
      </c>
      <c r="D51">
        <v>11</v>
      </c>
      <c r="E51" t="s">
        <v>1447</v>
      </c>
      <c r="F51" t="s">
        <v>1781</v>
      </c>
      <c r="G51" t="s">
        <v>1741</v>
      </c>
      <c r="H51" t="s">
        <v>2290</v>
      </c>
      <c r="I51" t="s">
        <v>2279</v>
      </c>
      <c r="J51" t="s">
        <v>2279</v>
      </c>
      <c r="K51" t="s">
        <v>2279</v>
      </c>
      <c r="L51" t="s">
        <v>2279</v>
      </c>
      <c r="M51" t="s">
        <v>2279</v>
      </c>
      <c r="N51" t="s">
        <v>2279</v>
      </c>
      <c r="O51" s="190" t="str">
        <f>"["&amp;$C51&amp;"]["&amp;$D51&amp;"]["&amp;$F51&amp;"]"</f>
        <v>[S02_CompetentAuthorityRoles][11][CAForInstallationTask]</v>
      </c>
    </row>
    <row r="52" spans="1:15" x14ac:dyDescent="0.3">
      <c r="A52" t="s">
        <v>2277</v>
      </c>
      <c r="B52" t="s">
        <v>1779</v>
      </c>
      <c r="C52" t="s">
        <v>1780</v>
      </c>
      <c r="D52">
        <v>13</v>
      </c>
      <c r="E52" t="s">
        <v>1447</v>
      </c>
      <c r="F52" t="s">
        <v>1781</v>
      </c>
      <c r="G52" t="s">
        <v>1741</v>
      </c>
      <c r="H52" t="s">
        <v>2288</v>
      </c>
      <c r="I52" t="s">
        <v>2279</v>
      </c>
      <c r="J52" t="s">
        <v>2279</v>
      </c>
      <c r="K52" t="s">
        <v>2279</v>
      </c>
      <c r="L52" t="s">
        <v>2279</v>
      </c>
      <c r="M52" t="s">
        <v>2279</v>
      </c>
      <c r="N52" t="s">
        <v>2279</v>
      </c>
      <c r="O52" s="190" t="str">
        <f>"["&amp;$C52&amp;"]["&amp;$D52&amp;"]["&amp;$F52&amp;"]"</f>
        <v>[S02_CompetentAuthorityRoles][13][CAForInstallationTask]</v>
      </c>
    </row>
    <row r="53" spans="1:15" x14ac:dyDescent="0.3">
      <c r="A53" t="s">
        <v>2277</v>
      </c>
      <c r="B53" t="s">
        <v>1779</v>
      </c>
      <c r="C53" t="s">
        <v>1780</v>
      </c>
      <c r="D53">
        <v>5</v>
      </c>
      <c r="E53" t="s">
        <v>1447</v>
      </c>
      <c r="F53" t="s">
        <v>1782</v>
      </c>
      <c r="G53" t="s">
        <v>1741</v>
      </c>
      <c r="H53" t="s">
        <v>2288</v>
      </c>
      <c r="I53" t="s">
        <v>2279</v>
      </c>
      <c r="J53" t="s">
        <v>2279</v>
      </c>
      <c r="K53" t="s">
        <v>2279</v>
      </c>
      <c r="L53" t="s">
        <v>2279</v>
      </c>
      <c r="M53" t="s">
        <v>2279</v>
      </c>
      <c r="N53" t="s">
        <v>2279</v>
      </c>
      <c r="O53" s="190" t="str">
        <f>"["&amp;$C53&amp;"]["&amp;$D53&amp;"]["&amp;$F53&amp;"]"</f>
        <v>[S02_CompetentAuthorityRoles][5][CAForAviationTask]</v>
      </c>
    </row>
    <row r="54" spans="1:15" x14ac:dyDescent="0.3">
      <c r="A54" t="s">
        <v>2277</v>
      </c>
      <c r="B54" t="s">
        <v>1779</v>
      </c>
      <c r="C54" t="s">
        <v>1780</v>
      </c>
      <c r="D54">
        <v>6</v>
      </c>
      <c r="E54" t="s">
        <v>1447</v>
      </c>
      <c r="F54" t="s">
        <v>1782</v>
      </c>
      <c r="G54" t="s">
        <v>1741</v>
      </c>
      <c r="H54" t="s">
        <v>2289</v>
      </c>
      <c r="I54" t="s">
        <v>2279</v>
      </c>
      <c r="J54" t="s">
        <v>2279</v>
      </c>
      <c r="K54" t="s">
        <v>2279</v>
      </c>
      <c r="L54" t="s">
        <v>2279</v>
      </c>
      <c r="M54" t="s">
        <v>2279</v>
      </c>
      <c r="N54" t="s">
        <v>2279</v>
      </c>
      <c r="O54" s="190" t="str">
        <f>"["&amp;$C54&amp;"]["&amp;$D54&amp;"]["&amp;$F54&amp;"]"</f>
        <v>[S02_CompetentAuthorityRoles][6][CAForAviationTask]</v>
      </c>
    </row>
    <row r="55" spans="1:15" x14ac:dyDescent="0.3">
      <c r="A55" t="s">
        <v>2277</v>
      </c>
      <c r="B55" t="s">
        <v>1779</v>
      </c>
      <c r="C55" t="s">
        <v>1780</v>
      </c>
      <c r="D55">
        <v>7</v>
      </c>
      <c r="E55" t="s">
        <v>1447</v>
      </c>
      <c r="F55" t="s">
        <v>1782</v>
      </c>
      <c r="G55" t="s">
        <v>1741</v>
      </c>
      <c r="H55" t="s">
        <v>2306</v>
      </c>
      <c r="I55" t="s">
        <v>2279</v>
      </c>
      <c r="J55" t="s">
        <v>2279</v>
      </c>
      <c r="K55" t="s">
        <v>2279</v>
      </c>
      <c r="L55" t="s">
        <v>2279</v>
      </c>
      <c r="M55" t="s">
        <v>2279</v>
      </c>
      <c r="N55" t="s">
        <v>2279</v>
      </c>
      <c r="O55" s="190" t="str">
        <f>"["&amp;$C55&amp;"]["&amp;$D55&amp;"]["&amp;$F55&amp;"]"</f>
        <v>[S02_CompetentAuthorityRoles][7][CAForAviationTask]</v>
      </c>
    </row>
    <row r="56" spans="1:15" x14ac:dyDescent="0.3">
      <c r="A56" t="s">
        <v>2277</v>
      </c>
      <c r="B56" t="s">
        <v>1779</v>
      </c>
      <c r="C56" t="s">
        <v>1780</v>
      </c>
      <c r="D56">
        <v>8</v>
      </c>
      <c r="E56" t="s">
        <v>1447</v>
      </c>
      <c r="F56" t="s">
        <v>1782</v>
      </c>
      <c r="G56" t="s">
        <v>1741</v>
      </c>
      <c r="H56" t="s">
        <v>2288</v>
      </c>
      <c r="I56" t="s">
        <v>2279</v>
      </c>
      <c r="J56" t="s">
        <v>2279</v>
      </c>
      <c r="K56" t="s">
        <v>2279</v>
      </c>
      <c r="L56" t="s">
        <v>2279</v>
      </c>
      <c r="M56" t="s">
        <v>2279</v>
      </c>
      <c r="N56" t="s">
        <v>2279</v>
      </c>
      <c r="O56" s="190" t="str">
        <f>"["&amp;$C56&amp;"]["&amp;$D56&amp;"]["&amp;$F56&amp;"]"</f>
        <v>[S02_CompetentAuthorityRoles][8][CAForAviationTask]</v>
      </c>
    </row>
    <row r="57" spans="1:15" x14ac:dyDescent="0.3">
      <c r="A57" t="s">
        <v>2277</v>
      </c>
      <c r="B57" t="s">
        <v>1779</v>
      </c>
      <c r="C57" t="s">
        <v>1780</v>
      </c>
      <c r="D57">
        <v>9</v>
      </c>
      <c r="E57" t="s">
        <v>1447</v>
      </c>
      <c r="F57" t="s">
        <v>1782</v>
      </c>
      <c r="G57" t="s">
        <v>1741</v>
      </c>
      <c r="H57" t="s">
        <v>2288</v>
      </c>
      <c r="I57" t="s">
        <v>2279</v>
      </c>
      <c r="J57" t="s">
        <v>2279</v>
      </c>
      <c r="K57" t="s">
        <v>2279</v>
      </c>
      <c r="L57" t="s">
        <v>2279</v>
      </c>
      <c r="M57" t="s">
        <v>2279</v>
      </c>
      <c r="N57" t="s">
        <v>2279</v>
      </c>
      <c r="O57" s="190" t="str">
        <f>"["&amp;$C57&amp;"]["&amp;$D57&amp;"]["&amp;$F57&amp;"]"</f>
        <v>[S02_CompetentAuthorityRoles][9][CAForAviationTask]</v>
      </c>
    </row>
    <row r="58" spans="1:15" x14ac:dyDescent="0.3">
      <c r="A58" t="s">
        <v>2277</v>
      </c>
      <c r="B58" t="s">
        <v>1779</v>
      </c>
      <c r="C58" t="s">
        <v>1780</v>
      </c>
      <c r="D58">
        <v>10</v>
      </c>
      <c r="E58" t="s">
        <v>1447</v>
      </c>
      <c r="F58" t="s">
        <v>1782</v>
      </c>
      <c r="G58" t="s">
        <v>1741</v>
      </c>
      <c r="H58" t="s">
        <v>2288</v>
      </c>
      <c r="I58" t="s">
        <v>2279</v>
      </c>
      <c r="J58" t="s">
        <v>2279</v>
      </c>
      <c r="K58" t="s">
        <v>2279</v>
      </c>
      <c r="L58" t="s">
        <v>2279</v>
      </c>
      <c r="M58" t="s">
        <v>2279</v>
      </c>
      <c r="N58" t="s">
        <v>2279</v>
      </c>
      <c r="O58" s="190" t="str">
        <f>"["&amp;$C58&amp;"]["&amp;$D58&amp;"]["&amp;$F58&amp;"]"</f>
        <v>[S02_CompetentAuthorityRoles][10][CAForAviationTask]</v>
      </c>
    </row>
    <row r="59" spans="1:15" x14ac:dyDescent="0.3">
      <c r="A59" t="s">
        <v>2277</v>
      </c>
      <c r="B59" t="s">
        <v>1779</v>
      </c>
      <c r="C59" t="s">
        <v>1780</v>
      </c>
      <c r="D59">
        <v>11</v>
      </c>
      <c r="E59" t="s">
        <v>1447</v>
      </c>
      <c r="F59" t="s">
        <v>1782</v>
      </c>
      <c r="G59" t="s">
        <v>1741</v>
      </c>
      <c r="H59" t="s">
        <v>2290</v>
      </c>
      <c r="I59" t="s">
        <v>2279</v>
      </c>
      <c r="J59" t="s">
        <v>2279</v>
      </c>
      <c r="K59" t="s">
        <v>2279</v>
      </c>
      <c r="L59" t="s">
        <v>2279</v>
      </c>
      <c r="M59" t="s">
        <v>2279</v>
      </c>
      <c r="N59" t="s">
        <v>2279</v>
      </c>
      <c r="O59" s="190" t="str">
        <f>"["&amp;$C59&amp;"]["&amp;$D59&amp;"]["&amp;$F59&amp;"]"</f>
        <v>[S02_CompetentAuthorityRoles][11][CAForAviationTask]</v>
      </c>
    </row>
    <row r="60" spans="1:15" x14ac:dyDescent="0.3">
      <c r="A60" t="s">
        <v>2277</v>
      </c>
      <c r="B60" t="s">
        <v>1784</v>
      </c>
      <c r="C60" t="s">
        <v>1785</v>
      </c>
      <c r="D60">
        <v>0</v>
      </c>
      <c r="E60" t="s">
        <v>1447</v>
      </c>
      <c r="F60" t="s">
        <v>1786</v>
      </c>
      <c r="G60" t="s">
        <v>1741</v>
      </c>
      <c r="H60" t="s">
        <v>2285</v>
      </c>
      <c r="I60" t="s">
        <v>2279</v>
      </c>
      <c r="J60" t="s">
        <v>2279</v>
      </c>
      <c r="K60" t="s">
        <v>2279</v>
      </c>
      <c r="L60" t="s">
        <v>2279</v>
      </c>
      <c r="M60" t="s">
        <v>2279</v>
      </c>
      <c r="N60" t="s">
        <v>2279</v>
      </c>
      <c r="O60" s="190" t="str">
        <f>"["&amp;$C60&amp;"]["&amp;$D60&amp;"]["&amp;$F60&amp;"]"</f>
        <v>[S02_CAFocalPoint][0][CAArt70]</v>
      </c>
    </row>
    <row r="61" spans="1:15" x14ac:dyDescent="0.3">
      <c r="A61" t="s">
        <v>2277</v>
      </c>
      <c r="B61" t="s">
        <v>1784</v>
      </c>
      <c r="C61" t="s">
        <v>1785</v>
      </c>
      <c r="D61">
        <v>0</v>
      </c>
      <c r="E61" t="s">
        <v>1447</v>
      </c>
      <c r="F61" t="s">
        <v>1787</v>
      </c>
      <c r="G61" t="s">
        <v>1741</v>
      </c>
      <c r="H61" t="s">
        <v>2288</v>
      </c>
      <c r="I61" t="s">
        <v>2279</v>
      </c>
      <c r="J61" t="s">
        <v>2279</v>
      </c>
      <c r="K61" t="s">
        <v>2279</v>
      </c>
      <c r="L61" t="s">
        <v>2279</v>
      </c>
      <c r="M61" t="s">
        <v>2279</v>
      </c>
      <c r="N61" t="s">
        <v>2279</v>
      </c>
      <c r="O61" s="190" t="str">
        <f>"["&amp;$C61&amp;"]["&amp;$D61&amp;"]["&amp;$F61&amp;"]"</f>
        <v>[S02_CAFocalPoint][0][CAArt70Abbrev]</v>
      </c>
    </row>
    <row r="62" spans="1:15" x14ac:dyDescent="0.3">
      <c r="A62" t="s">
        <v>2277</v>
      </c>
      <c r="B62" t="s">
        <v>1784</v>
      </c>
      <c r="C62" t="s">
        <v>1788</v>
      </c>
      <c r="D62">
        <v>1</v>
      </c>
      <c r="E62" t="s">
        <v>1447</v>
      </c>
      <c r="F62" t="s">
        <v>1789</v>
      </c>
      <c r="G62" t="s">
        <v>1759</v>
      </c>
      <c r="H62" t="s">
        <v>2279</v>
      </c>
      <c r="I62" t="s">
        <v>2279</v>
      </c>
      <c r="J62" t="s">
        <v>2279</v>
      </c>
      <c r="K62" t="s">
        <v>2279</v>
      </c>
      <c r="L62" t="s">
        <v>1447</v>
      </c>
      <c r="M62" t="s">
        <v>2279</v>
      </c>
      <c r="N62" t="s">
        <v>2279</v>
      </c>
      <c r="O62" s="190" t="str">
        <f>"["&amp;$C62&amp;"]["&amp;$D62&amp;"]["&amp;$F62&amp;"]"</f>
        <v>[S02_CompetentAuthorityCoordination][1][CACoordinationYesNo]</v>
      </c>
    </row>
    <row r="63" spans="1:15" x14ac:dyDescent="0.3">
      <c r="A63" t="s">
        <v>2277</v>
      </c>
      <c r="B63" t="s">
        <v>1784</v>
      </c>
      <c r="C63" t="s">
        <v>1788</v>
      </c>
      <c r="D63">
        <v>2</v>
      </c>
      <c r="E63" t="s">
        <v>1447</v>
      </c>
      <c r="F63" t="s">
        <v>1789</v>
      </c>
      <c r="G63" t="s">
        <v>1759</v>
      </c>
      <c r="H63" t="s">
        <v>2279</v>
      </c>
      <c r="I63" t="s">
        <v>2279</v>
      </c>
      <c r="J63" t="s">
        <v>2279</v>
      </c>
      <c r="K63" t="s">
        <v>2279</v>
      </c>
      <c r="L63" t="s">
        <v>1447</v>
      </c>
      <c r="M63" t="s">
        <v>2279</v>
      </c>
      <c r="N63" t="s">
        <v>2279</v>
      </c>
      <c r="O63" s="190" t="str">
        <f>"["&amp;$C63&amp;"]["&amp;$D63&amp;"]["&amp;$F63&amp;"]"</f>
        <v>[S02_CompetentAuthorityCoordination][2][CACoordinationYesNo]</v>
      </c>
    </row>
    <row r="64" spans="1:15" x14ac:dyDescent="0.3">
      <c r="A64" t="s">
        <v>2277</v>
      </c>
      <c r="B64" t="s">
        <v>1784</v>
      </c>
      <c r="C64" t="s">
        <v>1788</v>
      </c>
      <c r="D64">
        <v>3</v>
      </c>
      <c r="E64" t="s">
        <v>1447</v>
      </c>
      <c r="F64" t="s">
        <v>1789</v>
      </c>
      <c r="G64" t="s">
        <v>1759</v>
      </c>
      <c r="H64" t="s">
        <v>2279</v>
      </c>
      <c r="I64" t="s">
        <v>2279</v>
      </c>
      <c r="J64" t="s">
        <v>2279</v>
      </c>
      <c r="K64" t="s">
        <v>2279</v>
      </c>
      <c r="L64" t="s">
        <v>1447</v>
      </c>
      <c r="M64" t="s">
        <v>2279</v>
      </c>
      <c r="N64" t="s">
        <v>2279</v>
      </c>
      <c r="O64" s="190" t="str">
        <f>"["&amp;$C64&amp;"]["&amp;$D64&amp;"]["&amp;$F64&amp;"]"</f>
        <v>[S02_CompetentAuthorityCoordination][3][CACoordinationYesNo]</v>
      </c>
    </row>
    <row r="65" spans="1:15" x14ac:dyDescent="0.3">
      <c r="A65" t="s">
        <v>2277</v>
      </c>
      <c r="B65" t="s">
        <v>1784</v>
      </c>
      <c r="C65" t="s">
        <v>1788</v>
      </c>
      <c r="D65">
        <v>4</v>
      </c>
      <c r="E65" t="s">
        <v>1447</v>
      </c>
      <c r="F65" t="s">
        <v>1789</v>
      </c>
      <c r="G65" t="s">
        <v>1759</v>
      </c>
      <c r="H65" t="s">
        <v>2279</v>
      </c>
      <c r="I65" t="s">
        <v>2279</v>
      </c>
      <c r="J65" t="s">
        <v>2279</v>
      </c>
      <c r="K65" t="s">
        <v>2279</v>
      </c>
      <c r="L65" t="s">
        <v>1447</v>
      </c>
      <c r="M65" t="s">
        <v>2279</v>
      </c>
      <c r="N65" t="s">
        <v>2279</v>
      </c>
      <c r="O65" s="190" t="str">
        <f>"["&amp;$C65&amp;"]["&amp;$D65&amp;"]["&amp;$F65&amp;"]"</f>
        <v>[S02_CompetentAuthorityCoordination][4][CACoordinationYesNo]</v>
      </c>
    </row>
    <row r="66" spans="1:15" x14ac:dyDescent="0.3">
      <c r="A66" t="s">
        <v>2277</v>
      </c>
      <c r="B66" t="s">
        <v>1784</v>
      </c>
      <c r="C66" t="s">
        <v>1788</v>
      </c>
      <c r="D66">
        <v>5</v>
      </c>
      <c r="E66" t="s">
        <v>1447</v>
      </c>
      <c r="F66" t="s">
        <v>1789</v>
      </c>
      <c r="G66" t="s">
        <v>1759</v>
      </c>
      <c r="H66" t="s">
        <v>2279</v>
      </c>
      <c r="I66" t="s">
        <v>2279</v>
      </c>
      <c r="J66" t="s">
        <v>2279</v>
      </c>
      <c r="K66" t="s">
        <v>2279</v>
      </c>
      <c r="L66" t="s">
        <v>1447</v>
      </c>
      <c r="M66" t="s">
        <v>2279</v>
      </c>
      <c r="N66" t="s">
        <v>2279</v>
      </c>
      <c r="O66" s="190" t="str">
        <f>"["&amp;$C66&amp;"]["&amp;$D66&amp;"]["&amp;$F66&amp;"]"</f>
        <v>[S02_CompetentAuthorityCoordination][5][CACoordinationYesNo]</v>
      </c>
    </row>
    <row r="67" spans="1:15" x14ac:dyDescent="0.3">
      <c r="A67" t="s">
        <v>2277</v>
      </c>
      <c r="B67" t="s">
        <v>1784</v>
      </c>
      <c r="C67" t="s">
        <v>1788</v>
      </c>
      <c r="D67">
        <v>6</v>
      </c>
      <c r="E67" t="s">
        <v>1447</v>
      </c>
      <c r="F67" t="s">
        <v>1789</v>
      </c>
      <c r="G67" t="s">
        <v>1759</v>
      </c>
      <c r="H67" t="s">
        <v>2279</v>
      </c>
      <c r="I67" t="s">
        <v>2279</v>
      </c>
      <c r="J67" t="s">
        <v>2279</v>
      </c>
      <c r="K67" t="s">
        <v>2279</v>
      </c>
      <c r="L67" t="s">
        <v>1447</v>
      </c>
      <c r="M67" t="s">
        <v>2279</v>
      </c>
      <c r="N67" t="s">
        <v>2279</v>
      </c>
      <c r="O67" s="190" t="str">
        <f>"["&amp;$C67&amp;"]["&amp;$D67&amp;"]["&amp;$F67&amp;"]"</f>
        <v>[S02_CompetentAuthorityCoordination][6][CACoordinationYesNo]</v>
      </c>
    </row>
    <row r="68" spans="1:15" x14ac:dyDescent="0.3">
      <c r="A68" t="s">
        <v>2277</v>
      </c>
      <c r="B68" t="s">
        <v>1784</v>
      </c>
      <c r="C68" t="s">
        <v>1788</v>
      </c>
      <c r="D68">
        <v>1</v>
      </c>
      <c r="E68" t="s">
        <v>1447</v>
      </c>
      <c r="F68" t="s">
        <v>1790</v>
      </c>
      <c r="G68" t="s">
        <v>1791</v>
      </c>
      <c r="H68" t="s">
        <v>2279</v>
      </c>
      <c r="I68" t="s">
        <v>2279</v>
      </c>
      <c r="J68" t="s">
        <v>2279</v>
      </c>
      <c r="K68" t="s">
        <v>2307</v>
      </c>
      <c r="L68" t="s">
        <v>2279</v>
      </c>
      <c r="M68" t="s">
        <v>2279</v>
      </c>
      <c r="N68" t="s">
        <v>2279</v>
      </c>
      <c r="O68" s="190" t="str">
        <f>"["&amp;$C68&amp;"]["&amp;$D68&amp;"]["&amp;$F68&amp;"]"</f>
        <v>[S02_CompetentAuthorityCoordination][1][CACoordinationComment]</v>
      </c>
    </row>
    <row r="69" spans="1:15" x14ac:dyDescent="0.3">
      <c r="A69" t="s">
        <v>2277</v>
      </c>
      <c r="B69" t="s">
        <v>1784</v>
      </c>
      <c r="C69" t="s">
        <v>1788</v>
      </c>
      <c r="D69">
        <v>2</v>
      </c>
      <c r="E69" t="s">
        <v>1447</v>
      </c>
      <c r="F69" t="s">
        <v>1790</v>
      </c>
      <c r="G69" t="s">
        <v>1791</v>
      </c>
      <c r="H69" t="s">
        <v>2279</v>
      </c>
      <c r="I69" t="s">
        <v>2279</v>
      </c>
      <c r="J69" t="s">
        <v>2279</v>
      </c>
      <c r="K69" t="s">
        <v>2307</v>
      </c>
      <c r="L69" t="s">
        <v>2279</v>
      </c>
      <c r="M69" t="s">
        <v>2279</v>
      </c>
      <c r="N69" t="s">
        <v>2279</v>
      </c>
      <c r="O69" s="190" t="str">
        <f>"["&amp;$C69&amp;"]["&amp;$D69&amp;"]["&amp;$F69&amp;"]"</f>
        <v>[S02_CompetentAuthorityCoordination][2][CACoordinationComment]</v>
      </c>
    </row>
    <row r="70" spans="1:15" x14ac:dyDescent="0.3">
      <c r="A70" t="s">
        <v>2277</v>
      </c>
      <c r="B70" t="s">
        <v>1784</v>
      </c>
      <c r="C70" t="s">
        <v>1788</v>
      </c>
      <c r="D70">
        <v>3</v>
      </c>
      <c r="E70" t="s">
        <v>1447</v>
      </c>
      <c r="F70" t="s">
        <v>1790</v>
      </c>
      <c r="G70" t="s">
        <v>1791</v>
      </c>
      <c r="H70" t="s">
        <v>2279</v>
      </c>
      <c r="I70" t="s">
        <v>2279</v>
      </c>
      <c r="J70" t="s">
        <v>2279</v>
      </c>
      <c r="K70" t="s">
        <v>2307</v>
      </c>
      <c r="L70" t="s">
        <v>2279</v>
      </c>
      <c r="M70" t="s">
        <v>2279</v>
      </c>
      <c r="N70" t="s">
        <v>2279</v>
      </c>
      <c r="O70" s="190" t="str">
        <f>"["&amp;$C70&amp;"]["&amp;$D70&amp;"]["&amp;$F70&amp;"]"</f>
        <v>[S02_CompetentAuthorityCoordination][3][CACoordinationComment]</v>
      </c>
    </row>
    <row r="71" spans="1:15" x14ac:dyDescent="0.3">
      <c r="A71" t="s">
        <v>2277</v>
      </c>
      <c r="B71" t="s">
        <v>1784</v>
      </c>
      <c r="C71" t="s">
        <v>1788</v>
      </c>
      <c r="D71">
        <v>4</v>
      </c>
      <c r="E71" t="s">
        <v>1447</v>
      </c>
      <c r="F71" t="s">
        <v>1790</v>
      </c>
      <c r="G71" t="s">
        <v>1791</v>
      </c>
      <c r="H71" t="s">
        <v>2279</v>
      </c>
      <c r="I71" t="s">
        <v>2279</v>
      </c>
      <c r="J71" t="s">
        <v>2279</v>
      </c>
      <c r="K71" t="s">
        <v>2307</v>
      </c>
      <c r="L71" t="s">
        <v>2279</v>
      </c>
      <c r="M71" t="s">
        <v>2279</v>
      </c>
      <c r="N71" t="s">
        <v>2279</v>
      </c>
      <c r="O71" s="190" t="str">
        <f>"["&amp;$C71&amp;"]["&amp;$D71&amp;"]["&amp;$F71&amp;"]"</f>
        <v>[S02_CompetentAuthorityCoordination][4][CACoordinationComment]</v>
      </c>
    </row>
    <row r="72" spans="1:15" x14ac:dyDescent="0.3">
      <c r="A72" t="s">
        <v>2277</v>
      </c>
      <c r="B72" t="s">
        <v>1784</v>
      </c>
      <c r="C72" t="s">
        <v>1788</v>
      </c>
      <c r="D72">
        <v>5</v>
      </c>
      <c r="E72" t="s">
        <v>1447</v>
      </c>
      <c r="F72" t="s">
        <v>1790</v>
      </c>
      <c r="G72" t="s">
        <v>1791</v>
      </c>
      <c r="H72" t="s">
        <v>2279</v>
      </c>
      <c r="I72" t="s">
        <v>2279</v>
      </c>
      <c r="J72" t="s">
        <v>2279</v>
      </c>
      <c r="K72" t="s">
        <v>2307</v>
      </c>
      <c r="L72" t="s">
        <v>2279</v>
      </c>
      <c r="M72" t="s">
        <v>2279</v>
      </c>
      <c r="N72" t="s">
        <v>2279</v>
      </c>
      <c r="O72" s="190" t="str">
        <f>"["&amp;$C72&amp;"]["&amp;$D72&amp;"]["&amp;$F72&amp;"]"</f>
        <v>[S02_CompetentAuthorityCoordination][5][CACoordinationComment]</v>
      </c>
    </row>
    <row r="73" spans="1:15" x14ac:dyDescent="0.3">
      <c r="A73" t="s">
        <v>2277</v>
      </c>
      <c r="B73" t="s">
        <v>1784</v>
      </c>
      <c r="C73" t="s">
        <v>1788</v>
      </c>
      <c r="D73">
        <v>6</v>
      </c>
      <c r="E73" t="s">
        <v>1447</v>
      </c>
      <c r="F73" t="s">
        <v>1790</v>
      </c>
      <c r="G73" t="s">
        <v>1791</v>
      </c>
      <c r="H73" t="s">
        <v>2279</v>
      </c>
      <c r="I73" t="s">
        <v>2279</v>
      </c>
      <c r="J73" t="s">
        <v>2279</v>
      </c>
      <c r="K73" t="s">
        <v>2307</v>
      </c>
      <c r="L73" t="s">
        <v>2279</v>
      </c>
      <c r="M73" t="s">
        <v>2279</v>
      </c>
      <c r="N73" t="s">
        <v>2279</v>
      </c>
      <c r="O73" s="190" t="str">
        <f>"["&amp;$C73&amp;"]["&amp;$D73&amp;"]["&amp;$F73&amp;"]"</f>
        <v>[S02_CompetentAuthorityCoordination][6][CACoordinationComment]</v>
      </c>
    </row>
    <row r="74" spans="1:15" x14ac:dyDescent="0.3">
      <c r="A74" t="s">
        <v>2277</v>
      </c>
      <c r="B74" t="s">
        <v>1792</v>
      </c>
      <c r="C74" t="s">
        <v>1793</v>
      </c>
      <c r="D74">
        <v>1</v>
      </c>
      <c r="E74" t="s">
        <v>1447</v>
      </c>
      <c r="F74" t="s">
        <v>1794</v>
      </c>
      <c r="G74" t="s">
        <v>1759</v>
      </c>
      <c r="H74" t="s">
        <v>2279</v>
      </c>
      <c r="I74" t="s">
        <v>2279</v>
      </c>
      <c r="J74" t="s">
        <v>2279</v>
      </c>
      <c r="K74" t="s">
        <v>2279</v>
      </c>
      <c r="L74" t="s">
        <v>1447</v>
      </c>
      <c r="M74" t="s">
        <v>2279</v>
      </c>
      <c r="N74" t="s">
        <v>2279</v>
      </c>
      <c r="O74" s="190" t="str">
        <f>"["&amp;$C74&amp;"]["&amp;$D74&amp;"]["&amp;$F74&amp;"]"</f>
        <v>[S02_InformationExchangeAccBodyAndCA][1][InfoExchangeYesNo]</v>
      </c>
    </row>
    <row r="75" spans="1:15" x14ac:dyDescent="0.3">
      <c r="A75" t="s">
        <v>2277</v>
      </c>
      <c r="B75" t="s">
        <v>1792</v>
      </c>
      <c r="C75" t="s">
        <v>1793</v>
      </c>
      <c r="D75">
        <v>2</v>
      </c>
      <c r="E75" t="s">
        <v>1447</v>
      </c>
      <c r="F75" t="s">
        <v>1794</v>
      </c>
      <c r="G75" t="s">
        <v>1759</v>
      </c>
      <c r="H75" t="s">
        <v>2279</v>
      </c>
      <c r="I75" t="s">
        <v>2279</v>
      </c>
      <c r="J75" t="s">
        <v>2279</v>
      </c>
      <c r="K75" t="s">
        <v>2279</v>
      </c>
      <c r="L75" t="s">
        <v>1419</v>
      </c>
      <c r="M75" t="s">
        <v>2279</v>
      </c>
      <c r="N75" t="s">
        <v>2279</v>
      </c>
      <c r="O75" s="190" t="str">
        <f>"["&amp;$C75&amp;"]["&amp;$D75&amp;"]["&amp;$F75&amp;"]"</f>
        <v>[S02_InformationExchangeAccBodyAndCA][2][InfoExchangeYesNo]</v>
      </c>
    </row>
    <row r="76" spans="1:15" x14ac:dyDescent="0.3">
      <c r="A76" t="s">
        <v>2277</v>
      </c>
      <c r="B76" t="s">
        <v>1792</v>
      </c>
      <c r="C76" t="s">
        <v>1793</v>
      </c>
      <c r="D76">
        <v>3</v>
      </c>
      <c r="E76" t="s">
        <v>1447</v>
      </c>
      <c r="F76" t="s">
        <v>1794</v>
      </c>
      <c r="G76" t="s">
        <v>1759</v>
      </c>
      <c r="H76" t="s">
        <v>2279</v>
      </c>
      <c r="I76" t="s">
        <v>2279</v>
      </c>
      <c r="J76" t="s">
        <v>2279</v>
      </c>
      <c r="K76" t="s">
        <v>2279</v>
      </c>
      <c r="L76" t="s">
        <v>1419</v>
      </c>
      <c r="M76" t="s">
        <v>2279</v>
      </c>
      <c r="N76" t="s">
        <v>2279</v>
      </c>
      <c r="O76" s="190" t="str">
        <f>"["&amp;$C76&amp;"]["&amp;$D76&amp;"]["&amp;$F76&amp;"]"</f>
        <v>[S02_InformationExchangeAccBodyAndCA][3][InfoExchangeYesNo]</v>
      </c>
    </row>
    <row r="77" spans="1:15" x14ac:dyDescent="0.3">
      <c r="A77" t="s">
        <v>2277</v>
      </c>
      <c r="B77" t="s">
        <v>1792</v>
      </c>
      <c r="C77" t="s">
        <v>1793</v>
      </c>
      <c r="D77">
        <v>1</v>
      </c>
      <c r="E77" t="s">
        <v>1447</v>
      </c>
      <c r="F77" t="s">
        <v>1795</v>
      </c>
      <c r="G77" t="s">
        <v>1791</v>
      </c>
      <c r="H77" t="s">
        <v>2279</v>
      </c>
      <c r="I77" t="s">
        <v>2279</v>
      </c>
      <c r="J77" t="s">
        <v>2279</v>
      </c>
      <c r="K77" t="s">
        <v>2308</v>
      </c>
      <c r="L77" t="s">
        <v>2279</v>
      </c>
      <c r="M77" t="s">
        <v>2279</v>
      </c>
      <c r="N77" t="s">
        <v>2279</v>
      </c>
      <c r="O77" s="190" t="str">
        <f>"["&amp;$C77&amp;"]["&amp;$D77&amp;"]["&amp;$F77&amp;"]"</f>
        <v>[S02_InformationExchangeAccBodyAndCA][1][InfoExchangeComment]</v>
      </c>
    </row>
    <row r="78" spans="1:15" x14ac:dyDescent="0.3">
      <c r="A78" t="s">
        <v>2277</v>
      </c>
      <c r="B78" t="s">
        <v>1792</v>
      </c>
      <c r="C78" t="s">
        <v>1793</v>
      </c>
      <c r="D78">
        <v>2</v>
      </c>
      <c r="E78" t="s">
        <v>1447</v>
      </c>
      <c r="F78" t="s">
        <v>1795</v>
      </c>
      <c r="G78" t="s">
        <v>1791</v>
      </c>
      <c r="H78" t="s">
        <v>2279</v>
      </c>
      <c r="I78" t="s">
        <v>2279</v>
      </c>
      <c r="J78" t="s">
        <v>2279</v>
      </c>
      <c r="K78" t="s">
        <v>2309</v>
      </c>
      <c r="L78" t="s">
        <v>2279</v>
      </c>
      <c r="M78" t="s">
        <v>2279</v>
      </c>
      <c r="N78" t="s">
        <v>2279</v>
      </c>
      <c r="O78" s="190" t="str">
        <f>"["&amp;$C78&amp;"]["&amp;$D78&amp;"]["&amp;$F78&amp;"]"</f>
        <v>[S02_InformationExchangeAccBodyAndCA][2][InfoExchangeComment]</v>
      </c>
    </row>
    <row r="79" spans="1:15" x14ac:dyDescent="0.3">
      <c r="A79" t="s">
        <v>2277</v>
      </c>
      <c r="B79" t="s">
        <v>1796</v>
      </c>
      <c r="C79" t="s">
        <v>1797</v>
      </c>
      <c r="D79">
        <v>1</v>
      </c>
      <c r="E79" t="s">
        <v>1447</v>
      </c>
      <c r="F79" t="s">
        <v>1798</v>
      </c>
      <c r="G79" t="s">
        <v>1748</v>
      </c>
      <c r="H79" t="s">
        <v>2279</v>
      </c>
      <c r="I79">
        <v>247</v>
      </c>
      <c r="J79" t="s">
        <v>2279</v>
      </c>
      <c r="K79" t="s">
        <v>2279</v>
      </c>
      <c r="L79" t="s">
        <v>2279</v>
      </c>
      <c r="M79" t="s">
        <v>2279</v>
      </c>
      <c r="N79" t="s">
        <v>2279</v>
      </c>
      <c r="O79" s="190" t="str">
        <f>"["&amp;$C79&amp;"]["&amp;$D79&amp;"]["&amp;$F79&amp;"]"</f>
        <v>[S03_EmittingInstallations][1][NumberOfInstallations]</v>
      </c>
    </row>
    <row r="80" spans="1:15" x14ac:dyDescent="0.3">
      <c r="A80" t="s">
        <v>2277</v>
      </c>
      <c r="B80" t="s">
        <v>1796</v>
      </c>
      <c r="C80" t="s">
        <v>1797</v>
      </c>
      <c r="D80">
        <v>2</v>
      </c>
      <c r="E80" t="s">
        <v>1447</v>
      </c>
      <c r="F80" t="s">
        <v>1798</v>
      </c>
      <c r="G80" t="s">
        <v>1748</v>
      </c>
      <c r="H80" t="s">
        <v>2279</v>
      </c>
      <c r="I80">
        <v>159</v>
      </c>
      <c r="J80" t="s">
        <v>2279</v>
      </c>
      <c r="K80" t="s">
        <v>2279</v>
      </c>
      <c r="L80" t="s">
        <v>2279</v>
      </c>
      <c r="M80" t="s">
        <v>2279</v>
      </c>
      <c r="N80" t="s">
        <v>2279</v>
      </c>
      <c r="O80" s="190" t="str">
        <f>"["&amp;$C80&amp;"]["&amp;$D80&amp;"]["&amp;$F80&amp;"]"</f>
        <v>[S03_EmittingInstallations][2][NumberOfInstallations]</v>
      </c>
    </row>
    <row r="81" spans="1:15" x14ac:dyDescent="0.3">
      <c r="A81" t="s">
        <v>2277</v>
      </c>
      <c r="B81" t="s">
        <v>1796</v>
      </c>
      <c r="C81" t="s">
        <v>1797</v>
      </c>
      <c r="D81">
        <v>3</v>
      </c>
      <c r="E81" t="s">
        <v>1447</v>
      </c>
      <c r="F81" t="s">
        <v>1798</v>
      </c>
      <c r="G81" t="s">
        <v>1748</v>
      </c>
      <c r="H81" t="s">
        <v>2279</v>
      </c>
      <c r="I81">
        <v>59</v>
      </c>
      <c r="J81" t="s">
        <v>2279</v>
      </c>
      <c r="K81" t="s">
        <v>2279</v>
      </c>
      <c r="L81" t="s">
        <v>2279</v>
      </c>
      <c r="M81" t="s">
        <v>2279</v>
      </c>
      <c r="N81" t="s">
        <v>2279</v>
      </c>
      <c r="O81" s="190" t="str">
        <f>"["&amp;$C81&amp;"]["&amp;$D81&amp;"]["&amp;$F81&amp;"]"</f>
        <v>[S03_EmittingInstallations][3][NumberOfInstallations]</v>
      </c>
    </row>
    <row r="82" spans="1:15" x14ac:dyDescent="0.3">
      <c r="A82" t="s">
        <v>2277</v>
      </c>
      <c r="B82" t="s">
        <v>1796</v>
      </c>
      <c r="C82" t="s">
        <v>1797</v>
      </c>
      <c r="D82">
        <v>4</v>
      </c>
      <c r="E82" t="s">
        <v>1447</v>
      </c>
      <c r="F82" t="s">
        <v>1798</v>
      </c>
      <c r="G82" t="s">
        <v>1748</v>
      </c>
      <c r="H82" t="s">
        <v>2279</v>
      </c>
      <c r="I82">
        <v>29</v>
      </c>
      <c r="J82" t="s">
        <v>2279</v>
      </c>
      <c r="K82" t="s">
        <v>2279</v>
      </c>
      <c r="L82" t="s">
        <v>2279</v>
      </c>
      <c r="M82" t="s">
        <v>2279</v>
      </c>
      <c r="N82" t="s">
        <v>2279</v>
      </c>
      <c r="O82" s="190" t="str">
        <f>"["&amp;$C82&amp;"]["&amp;$D82&amp;"]["&amp;$F82&amp;"]"</f>
        <v>[S03_EmittingInstallations][4][NumberOfInstallations]</v>
      </c>
    </row>
    <row r="83" spans="1:15" x14ac:dyDescent="0.3">
      <c r="A83" t="s">
        <v>2277</v>
      </c>
      <c r="B83" t="s">
        <v>1796</v>
      </c>
      <c r="C83" t="s">
        <v>1797</v>
      </c>
      <c r="D83">
        <v>5</v>
      </c>
      <c r="E83" t="s">
        <v>1447</v>
      </c>
      <c r="F83" t="s">
        <v>1798</v>
      </c>
      <c r="G83" t="s">
        <v>1748</v>
      </c>
      <c r="H83" t="s">
        <v>2279</v>
      </c>
      <c r="I83">
        <v>128</v>
      </c>
      <c r="J83" t="s">
        <v>2279</v>
      </c>
      <c r="K83" t="s">
        <v>2279</v>
      </c>
      <c r="L83" t="s">
        <v>2279</v>
      </c>
      <c r="M83" t="s">
        <v>2279</v>
      </c>
      <c r="N83" t="s">
        <v>2279</v>
      </c>
      <c r="O83" s="190" t="str">
        <f>"["&amp;$C83&amp;"]["&amp;$D83&amp;"]["&amp;$F83&amp;"]"</f>
        <v>[S03_EmittingInstallations][5][NumberOfInstallations]</v>
      </c>
    </row>
    <row r="84" spans="1:15" x14ac:dyDescent="0.3">
      <c r="A84" t="s">
        <v>2277</v>
      </c>
      <c r="B84" t="s">
        <v>1796</v>
      </c>
      <c r="C84" t="s">
        <v>1799</v>
      </c>
      <c r="D84">
        <v>1</v>
      </c>
      <c r="E84" t="s">
        <v>1447</v>
      </c>
      <c r="F84" t="s">
        <v>1800</v>
      </c>
      <c r="G84" t="s">
        <v>1759</v>
      </c>
      <c r="H84" t="s">
        <v>2279</v>
      </c>
      <c r="I84" t="s">
        <v>2279</v>
      </c>
      <c r="J84" t="s">
        <v>2279</v>
      </c>
      <c r="K84" t="s">
        <v>2279</v>
      </c>
      <c r="L84" t="s">
        <v>1419</v>
      </c>
      <c r="M84" t="s">
        <v>2279</v>
      </c>
      <c r="N84" t="s">
        <v>2279</v>
      </c>
      <c r="O84" s="190" t="str">
        <f>"["&amp;$C84&amp;"]["&amp;$D84&amp;"]["&amp;$F84&amp;"]"</f>
        <v>[S03_ActivityPermits][1][ActivityPermitsIssued]</v>
      </c>
    </row>
    <row r="85" spans="1:15" x14ac:dyDescent="0.3">
      <c r="A85" t="s">
        <v>2277</v>
      </c>
      <c r="B85" t="s">
        <v>1796</v>
      </c>
      <c r="C85" t="s">
        <v>1799</v>
      </c>
      <c r="D85">
        <v>2</v>
      </c>
      <c r="E85" t="s">
        <v>1447</v>
      </c>
      <c r="F85" t="s">
        <v>1800</v>
      </c>
      <c r="G85" t="s">
        <v>1759</v>
      </c>
      <c r="H85" t="s">
        <v>2279</v>
      </c>
      <c r="I85" t="s">
        <v>2279</v>
      </c>
      <c r="J85" t="s">
        <v>2279</v>
      </c>
      <c r="K85" t="s">
        <v>2279</v>
      </c>
      <c r="L85" t="s">
        <v>1419</v>
      </c>
      <c r="M85" t="s">
        <v>2279</v>
      </c>
      <c r="N85" t="s">
        <v>2279</v>
      </c>
      <c r="O85" s="190" t="str">
        <f>"["&amp;$C85&amp;"]["&amp;$D85&amp;"]["&amp;$F85&amp;"]"</f>
        <v>[S03_ActivityPermits][2][ActivityPermitsIssued]</v>
      </c>
    </row>
    <row r="86" spans="1:15" x14ac:dyDescent="0.3">
      <c r="A86" t="s">
        <v>2277</v>
      </c>
      <c r="B86" t="s">
        <v>1796</v>
      </c>
      <c r="C86" t="s">
        <v>1799</v>
      </c>
      <c r="D86">
        <v>3</v>
      </c>
      <c r="E86" t="s">
        <v>1447</v>
      </c>
      <c r="F86" t="s">
        <v>1800</v>
      </c>
      <c r="G86" t="s">
        <v>1759</v>
      </c>
      <c r="H86" t="s">
        <v>2279</v>
      </c>
      <c r="I86" t="s">
        <v>2279</v>
      </c>
      <c r="J86" t="s">
        <v>2279</v>
      </c>
      <c r="K86" t="s">
        <v>2279</v>
      </c>
      <c r="L86" t="s">
        <v>1419</v>
      </c>
      <c r="M86" t="s">
        <v>2279</v>
      </c>
      <c r="N86" t="s">
        <v>2279</v>
      </c>
      <c r="O86" s="190" t="str">
        <f>"["&amp;$C86&amp;"]["&amp;$D86&amp;"]["&amp;$F86&amp;"]"</f>
        <v>[S03_ActivityPermits][3][ActivityPermitsIssued]</v>
      </c>
    </row>
    <row r="87" spans="1:15" x14ac:dyDescent="0.3">
      <c r="A87" t="s">
        <v>2277</v>
      </c>
      <c r="B87" t="s">
        <v>1796</v>
      </c>
      <c r="C87" t="s">
        <v>1799</v>
      </c>
      <c r="D87">
        <v>4</v>
      </c>
      <c r="E87" t="s">
        <v>1447</v>
      </c>
      <c r="F87" t="s">
        <v>1800</v>
      </c>
      <c r="G87" t="s">
        <v>1759</v>
      </c>
      <c r="H87" t="s">
        <v>2279</v>
      </c>
      <c r="I87" t="s">
        <v>2279</v>
      </c>
      <c r="J87" t="s">
        <v>2279</v>
      </c>
      <c r="K87" t="s">
        <v>2279</v>
      </c>
      <c r="L87" t="s">
        <v>1419</v>
      </c>
      <c r="M87" t="s">
        <v>2279</v>
      </c>
      <c r="N87" t="s">
        <v>2279</v>
      </c>
      <c r="O87" s="190" t="str">
        <f>"["&amp;$C87&amp;"]["&amp;$D87&amp;"]["&amp;$F87&amp;"]"</f>
        <v>[S03_ActivityPermits][4][ActivityPermitsIssued]</v>
      </c>
    </row>
    <row r="88" spans="1:15" x14ac:dyDescent="0.3">
      <c r="A88" t="s">
        <v>2277</v>
      </c>
      <c r="B88" t="s">
        <v>1796</v>
      </c>
      <c r="C88" t="s">
        <v>1799</v>
      </c>
      <c r="D88">
        <v>5</v>
      </c>
      <c r="E88" t="s">
        <v>1447</v>
      </c>
      <c r="F88" t="s">
        <v>1800</v>
      </c>
      <c r="G88" t="s">
        <v>1759</v>
      </c>
      <c r="H88" t="s">
        <v>2279</v>
      </c>
      <c r="I88" t="s">
        <v>2279</v>
      </c>
      <c r="J88" t="s">
        <v>2279</v>
      </c>
      <c r="K88" t="s">
        <v>2279</v>
      </c>
      <c r="L88" t="s">
        <v>1419</v>
      </c>
      <c r="M88" t="s">
        <v>2279</v>
      </c>
      <c r="N88" t="s">
        <v>2279</v>
      </c>
      <c r="O88" s="190" t="str">
        <f>"["&amp;$C88&amp;"]["&amp;$D88&amp;"]["&amp;$F88&amp;"]"</f>
        <v>[S03_ActivityPermits][5][ActivityPermitsIssued]</v>
      </c>
    </row>
    <row r="89" spans="1:15" x14ac:dyDescent="0.3">
      <c r="A89" t="s">
        <v>2277</v>
      </c>
      <c r="B89" t="s">
        <v>1796</v>
      </c>
      <c r="C89" t="s">
        <v>1799</v>
      </c>
      <c r="D89">
        <v>6</v>
      </c>
      <c r="E89" t="s">
        <v>1447</v>
      </c>
      <c r="F89" t="s">
        <v>1800</v>
      </c>
      <c r="G89" t="s">
        <v>1759</v>
      </c>
      <c r="H89" t="s">
        <v>2279</v>
      </c>
      <c r="I89" t="s">
        <v>2279</v>
      </c>
      <c r="J89" t="s">
        <v>2279</v>
      </c>
      <c r="K89" t="s">
        <v>2279</v>
      </c>
      <c r="L89" t="s">
        <v>1419</v>
      </c>
      <c r="M89" t="s">
        <v>2279</v>
      </c>
      <c r="N89" t="s">
        <v>2279</v>
      </c>
      <c r="O89" s="190" t="str">
        <f>"["&amp;$C89&amp;"]["&amp;$D89&amp;"]["&amp;$F89&amp;"]"</f>
        <v>[S03_ActivityPermits][6][ActivityPermitsIssued]</v>
      </c>
    </row>
    <row r="90" spans="1:15" x14ac:dyDescent="0.3">
      <c r="A90" t="s">
        <v>2277</v>
      </c>
      <c r="B90" t="s">
        <v>1796</v>
      </c>
      <c r="C90" t="s">
        <v>1799</v>
      </c>
      <c r="D90">
        <v>7</v>
      </c>
      <c r="E90" t="s">
        <v>1447</v>
      </c>
      <c r="F90" t="s">
        <v>1800</v>
      </c>
      <c r="G90" t="s">
        <v>1759</v>
      </c>
      <c r="H90" t="s">
        <v>2279</v>
      </c>
      <c r="I90" t="s">
        <v>2279</v>
      </c>
      <c r="J90" t="s">
        <v>2279</v>
      </c>
      <c r="K90" t="s">
        <v>2279</v>
      </c>
      <c r="L90" t="s">
        <v>1447</v>
      </c>
      <c r="M90" t="s">
        <v>2279</v>
      </c>
      <c r="N90" t="s">
        <v>2279</v>
      </c>
      <c r="O90" s="190" t="str">
        <f>"["&amp;$C90&amp;"]["&amp;$D90&amp;"]["&amp;$F90&amp;"]"</f>
        <v>[S03_ActivityPermits][7][ActivityPermitsIssued]</v>
      </c>
    </row>
    <row r="91" spans="1:15" x14ac:dyDescent="0.3">
      <c r="A91" t="s">
        <v>2277</v>
      </c>
      <c r="B91" t="s">
        <v>1796</v>
      </c>
      <c r="C91" t="s">
        <v>1799</v>
      </c>
      <c r="D91">
        <v>8</v>
      </c>
      <c r="E91" t="s">
        <v>1447</v>
      </c>
      <c r="F91" t="s">
        <v>1800</v>
      </c>
      <c r="G91" t="s">
        <v>1759</v>
      </c>
      <c r="H91" t="s">
        <v>2279</v>
      </c>
      <c r="I91" t="s">
        <v>2279</v>
      </c>
      <c r="J91" t="s">
        <v>2279</v>
      </c>
      <c r="K91" t="s">
        <v>2279</v>
      </c>
      <c r="L91" t="s">
        <v>1419</v>
      </c>
      <c r="M91" t="s">
        <v>2279</v>
      </c>
      <c r="N91" t="s">
        <v>2279</v>
      </c>
      <c r="O91" s="190" t="str">
        <f>"["&amp;$C91&amp;"]["&amp;$D91&amp;"]["&amp;$F91&amp;"]"</f>
        <v>[S03_ActivityPermits][8][ActivityPermitsIssued]</v>
      </c>
    </row>
    <row r="92" spans="1:15" x14ac:dyDescent="0.3">
      <c r="A92" t="s">
        <v>2277</v>
      </c>
      <c r="B92" t="s">
        <v>1796</v>
      </c>
      <c r="C92" t="s">
        <v>1799</v>
      </c>
      <c r="D92">
        <v>9</v>
      </c>
      <c r="E92" t="s">
        <v>1447</v>
      </c>
      <c r="F92" t="s">
        <v>1800</v>
      </c>
      <c r="G92" t="s">
        <v>1759</v>
      </c>
      <c r="H92" t="s">
        <v>2279</v>
      </c>
      <c r="I92" t="s">
        <v>2279</v>
      </c>
      <c r="J92" t="s">
        <v>2279</v>
      </c>
      <c r="K92" t="s">
        <v>2279</v>
      </c>
      <c r="L92" t="s">
        <v>1419</v>
      </c>
      <c r="M92" t="s">
        <v>2279</v>
      </c>
      <c r="N92" t="s">
        <v>2279</v>
      </c>
      <c r="O92" s="190" t="str">
        <f>"["&amp;$C92&amp;"]["&amp;$D92&amp;"]["&amp;$F92&amp;"]"</f>
        <v>[S03_ActivityPermits][9][ActivityPermitsIssued]</v>
      </c>
    </row>
    <row r="93" spans="1:15" x14ac:dyDescent="0.3">
      <c r="A93" t="s">
        <v>2277</v>
      </c>
      <c r="B93" t="s">
        <v>1796</v>
      </c>
      <c r="C93" t="s">
        <v>1799</v>
      </c>
      <c r="D93">
        <v>10</v>
      </c>
      <c r="E93" t="s">
        <v>1447</v>
      </c>
      <c r="F93" t="s">
        <v>1800</v>
      </c>
      <c r="G93" t="s">
        <v>1759</v>
      </c>
      <c r="H93" t="s">
        <v>2279</v>
      </c>
      <c r="I93" t="s">
        <v>2279</v>
      </c>
      <c r="J93" t="s">
        <v>2279</v>
      </c>
      <c r="K93" t="s">
        <v>2279</v>
      </c>
      <c r="L93" t="s">
        <v>1419</v>
      </c>
      <c r="M93" t="s">
        <v>2279</v>
      </c>
      <c r="N93" t="s">
        <v>2279</v>
      </c>
      <c r="O93" s="190" t="str">
        <f>"["&amp;$C93&amp;"]["&amp;$D93&amp;"]["&amp;$F93&amp;"]"</f>
        <v>[S03_ActivityPermits][10][ActivityPermitsIssued]</v>
      </c>
    </row>
    <row r="94" spans="1:15" x14ac:dyDescent="0.3">
      <c r="A94" t="s">
        <v>2277</v>
      </c>
      <c r="B94" t="s">
        <v>1796</v>
      </c>
      <c r="C94" t="s">
        <v>1799</v>
      </c>
      <c r="D94">
        <v>11</v>
      </c>
      <c r="E94" t="s">
        <v>1447</v>
      </c>
      <c r="F94" t="s">
        <v>1800</v>
      </c>
      <c r="G94" t="s">
        <v>1759</v>
      </c>
      <c r="H94" t="s">
        <v>2279</v>
      </c>
      <c r="I94" t="s">
        <v>2279</v>
      </c>
      <c r="J94" t="s">
        <v>2279</v>
      </c>
      <c r="K94" t="s">
        <v>2279</v>
      </c>
      <c r="L94" t="s">
        <v>1419</v>
      </c>
      <c r="M94" t="s">
        <v>2279</v>
      </c>
      <c r="N94" t="s">
        <v>2279</v>
      </c>
      <c r="O94" s="190" t="str">
        <f>"["&amp;$C94&amp;"]["&amp;$D94&amp;"]["&amp;$F94&amp;"]"</f>
        <v>[S03_ActivityPermits][11][ActivityPermitsIssued]</v>
      </c>
    </row>
    <row r="95" spans="1:15" x14ac:dyDescent="0.3">
      <c r="A95" t="s">
        <v>2277</v>
      </c>
      <c r="B95" t="s">
        <v>1796</v>
      </c>
      <c r="C95" t="s">
        <v>1799</v>
      </c>
      <c r="D95">
        <v>12</v>
      </c>
      <c r="E95" t="s">
        <v>1447</v>
      </c>
      <c r="F95" t="s">
        <v>1800</v>
      </c>
      <c r="G95" t="s">
        <v>1759</v>
      </c>
      <c r="H95" t="s">
        <v>2279</v>
      </c>
      <c r="I95" t="s">
        <v>2279</v>
      </c>
      <c r="J95" t="s">
        <v>2279</v>
      </c>
      <c r="K95" t="s">
        <v>2279</v>
      </c>
      <c r="L95" t="s">
        <v>1419</v>
      </c>
      <c r="M95" t="s">
        <v>2279</v>
      </c>
      <c r="N95" t="s">
        <v>2279</v>
      </c>
      <c r="O95" s="190" t="str">
        <f>"["&amp;$C95&amp;"]["&amp;$D95&amp;"]["&amp;$F95&amp;"]"</f>
        <v>[S03_ActivityPermits][12][ActivityPermitsIssued]</v>
      </c>
    </row>
    <row r="96" spans="1:15" x14ac:dyDescent="0.3">
      <c r="A96" t="s">
        <v>2277</v>
      </c>
      <c r="B96" t="s">
        <v>1796</v>
      </c>
      <c r="C96" t="s">
        <v>1799</v>
      </c>
      <c r="D96">
        <v>13</v>
      </c>
      <c r="E96" t="s">
        <v>1447</v>
      </c>
      <c r="F96" t="s">
        <v>1800</v>
      </c>
      <c r="G96" t="s">
        <v>1759</v>
      </c>
      <c r="H96" t="s">
        <v>2279</v>
      </c>
      <c r="I96" t="s">
        <v>2279</v>
      </c>
      <c r="J96" t="s">
        <v>2279</v>
      </c>
      <c r="K96" t="s">
        <v>2279</v>
      </c>
      <c r="L96" t="s">
        <v>1419</v>
      </c>
      <c r="M96" t="s">
        <v>2279</v>
      </c>
      <c r="N96" t="s">
        <v>2279</v>
      </c>
      <c r="O96" s="190" t="str">
        <f>"["&amp;$C96&amp;"]["&amp;$D96&amp;"]["&amp;$F96&amp;"]"</f>
        <v>[S03_ActivityPermits][13][ActivityPermitsIssued]</v>
      </c>
    </row>
    <row r="97" spans="1:15" x14ac:dyDescent="0.3">
      <c r="A97" t="s">
        <v>2277</v>
      </c>
      <c r="B97" t="s">
        <v>1796</v>
      </c>
      <c r="C97" t="s">
        <v>1799</v>
      </c>
      <c r="D97">
        <v>14</v>
      </c>
      <c r="E97" t="s">
        <v>1447</v>
      </c>
      <c r="F97" t="s">
        <v>1800</v>
      </c>
      <c r="G97" t="s">
        <v>1759</v>
      </c>
      <c r="H97" t="s">
        <v>2279</v>
      </c>
      <c r="I97" t="s">
        <v>2279</v>
      </c>
      <c r="J97" t="s">
        <v>2279</v>
      </c>
      <c r="K97" t="s">
        <v>2279</v>
      </c>
      <c r="L97" t="s">
        <v>1419</v>
      </c>
      <c r="M97" t="s">
        <v>2279</v>
      </c>
      <c r="N97" t="s">
        <v>2279</v>
      </c>
      <c r="O97" s="190" t="str">
        <f>"["&amp;$C97&amp;"]["&amp;$D97&amp;"]["&amp;$F97&amp;"]"</f>
        <v>[S03_ActivityPermits][14][ActivityPermitsIssued]</v>
      </c>
    </row>
    <row r="98" spans="1:15" x14ac:dyDescent="0.3">
      <c r="A98" t="s">
        <v>2277</v>
      </c>
      <c r="B98" t="s">
        <v>1796</v>
      </c>
      <c r="C98" t="s">
        <v>1799</v>
      </c>
      <c r="D98">
        <v>15</v>
      </c>
      <c r="E98" t="s">
        <v>1447</v>
      </c>
      <c r="F98" t="s">
        <v>1800</v>
      </c>
      <c r="G98" t="s">
        <v>1759</v>
      </c>
      <c r="H98" t="s">
        <v>2279</v>
      </c>
      <c r="I98" t="s">
        <v>2279</v>
      </c>
      <c r="J98" t="s">
        <v>2279</v>
      </c>
      <c r="K98" t="s">
        <v>2279</v>
      </c>
      <c r="L98" t="s">
        <v>1419</v>
      </c>
      <c r="M98" t="s">
        <v>2279</v>
      </c>
      <c r="N98" t="s">
        <v>2279</v>
      </c>
      <c r="O98" s="190" t="str">
        <f>"["&amp;$C98&amp;"]["&amp;$D98&amp;"]["&amp;$F98&amp;"]"</f>
        <v>[S03_ActivityPermits][15][ActivityPermitsIssued]</v>
      </c>
    </row>
    <row r="99" spans="1:15" x14ac:dyDescent="0.3">
      <c r="A99" t="s">
        <v>2277</v>
      </c>
      <c r="B99" t="s">
        <v>1796</v>
      </c>
      <c r="C99" t="s">
        <v>1799</v>
      </c>
      <c r="D99">
        <v>16</v>
      </c>
      <c r="E99" t="s">
        <v>1447</v>
      </c>
      <c r="F99" t="s">
        <v>1800</v>
      </c>
      <c r="G99" t="s">
        <v>1759</v>
      </c>
      <c r="H99" t="s">
        <v>2279</v>
      </c>
      <c r="I99" t="s">
        <v>2279</v>
      </c>
      <c r="J99" t="s">
        <v>2279</v>
      </c>
      <c r="K99" t="s">
        <v>2279</v>
      </c>
      <c r="L99" t="s">
        <v>1419</v>
      </c>
      <c r="M99" t="s">
        <v>2279</v>
      </c>
      <c r="N99" t="s">
        <v>2279</v>
      </c>
      <c r="O99" s="190" t="str">
        <f>"["&amp;$C99&amp;"]["&amp;$D99&amp;"]["&amp;$F99&amp;"]"</f>
        <v>[S03_ActivityPermits][16][ActivityPermitsIssued]</v>
      </c>
    </row>
    <row r="100" spans="1:15" x14ac:dyDescent="0.3">
      <c r="A100" t="s">
        <v>2277</v>
      </c>
      <c r="B100" t="s">
        <v>1796</v>
      </c>
      <c r="C100" t="s">
        <v>1799</v>
      </c>
      <c r="D100">
        <v>17</v>
      </c>
      <c r="E100" t="s">
        <v>1447</v>
      </c>
      <c r="F100" t="s">
        <v>1800</v>
      </c>
      <c r="G100" t="s">
        <v>1759</v>
      </c>
      <c r="H100" t="s">
        <v>2279</v>
      </c>
      <c r="I100" t="s">
        <v>2279</v>
      </c>
      <c r="J100" t="s">
        <v>2279</v>
      </c>
      <c r="K100" t="s">
        <v>2279</v>
      </c>
      <c r="L100" t="s">
        <v>1419</v>
      </c>
      <c r="M100" t="s">
        <v>2279</v>
      </c>
      <c r="N100" t="s">
        <v>2279</v>
      </c>
      <c r="O100" s="190" t="str">
        <f>"["&amp;$C100&amp;"]["&amp;$D100&amp;"]["&amp;$F100&amp;"]"</f>
        <v>[S03_ActivityPermits][17][ActivityPermitsIssued]</v>
      </c>
    </row>
    <row r="101" spans="1:15" x14ac:dyDescent="0.3">
      <c r="A101" t="s">
        <v>2277</v>
      </c>
      <c r="B101" t="s">
        <v>1796</v>
      </c>
      <c r="C101" t="s">
        <v>1799</v>
      </c>
      <c r="D101">
        <v>18</v>
      </c>
      <c r="E101" t="s">
        <v>1447</v>
      </c>
      <c r="F101" t="s">
        <v>1800</v>
      </c>
      <c r="G101" t="s">
        <v>1759</v>
      </c>
      <c r="H101" t="s">
        <v>2279</v>
      </c>
      <c r="I101" t="s">
        <v>2279</v>
      </c>
      <c r="J101" t="s">
        <v>2279</v>
      </c>
      <c r="K101" t="s">
        <v>2279</v>
      </c>
      <c r="L101" t="s">
        <v>1419</v>
      </c>
      <c r="M101" t="s">
        <v>2279</v>
      </c>
      <c r="N101" t="s">
        <v>2279</v>
      </c>
      <c r="O101" s="190" t="str">
        <f>"["&amp;$C101&amp;"]["&amp;$D101&amp;"]["&amp;$F101&amp;"]"</f>
        <v>[S03_ActivityPermits][18][ActivityPermitsIssued]</v>
      </c>
    </row>
    <row r="102" spans="1:15" x14ac:dyDescent="0.3">
      <c r="A102" t="s">
        <v>2277</v>
      </c>
      <c r="B102" t="s">
        <v>1796</v>
      </c>
      <c r="C102" t="s">
        <v>1799</v>
      </c>
      <c r="D102">
        <v>19</v>
      </c>
      <c r="E102" t="s">
        <v>1447</v>
      </c>
      <c r="F102" t="s">
        <v>1800</v>
      </c>
      <c r="G102" t="s">
        <v>1759</v>
      </c>
      <c r="H102" t="s">
        <v>2279</v>
      </c>
      <c r="I102" t="s">
        <v>2279</v>
      </c>
      <c r="J102" t="s">
        <v>2279</v>
      </c>
      <c r="K102" t="s">
        <v>2279</v>
      </c>
      <c r="L102" t="s">
        <v>1419</v>
      </c>
      <c r="M102" t="s">
        <v>2279</v>
      </c>
      <c r="N102" t="s">
        <v>2279</v>
      </c>
      <c r="O102" s="190" t="str">
        <f>"["&amp;$C102&amp;"]["&amp;$D102&amp;"]["&amp;$F102&amp;"]"</f>
        <v>[S03_ActivityPermits][19][ActivityPermitsIssued]</v>
      </c>
    </row>
    <row r="103" spans="1:15" x14ac:dyDescent="0.3">
      <c r="A103" t="s">
        <v>2277</v>
      </c>
      <c r="B103" t="s">
        <v>1796</v>
      </c>
      <c r="C103" t="s">
        <v>1799</v>
      </c>
      <c r="D103">
        <v>20</v>
      </c>
      <c r="E103" t="s">
        <v>1447</v>
      </c>
      <c r="F103" t="s">
        <v>1800</v>
      </c>
      <c r="G103" t="s">
        <v>1759</v>
      </c>
      <c r="H103" t="s">
        <v>2279</v>
      </c>
      <c r="I103" t="s">
        <v>2279</v>
      </c>
      <c r="J103" t="s">
        <v>2279</v>
      </c>
      <c r="K103" t="s">
        <v>2279</v>
      </c>
      <c r="L103" t="s">
        <v>1447</v>
      </c>
      <c r="M103" t="s">
        <v>2279</v>
      </c>
      <c r="N103" t="s">
        <v>2279</v>
      </c>
      <c r="O103" s="190" t="str">
        <f>"["&amp;$C103&amp;"]["&amp;$D103&amp;"]["&amp;$F103&amp;"]"</f>
        <v>[S03_ActivityPermits][20][ActivityPermitsIssued]</v>
      </c>
    </row>
    <row r="104" spans="1:15" x14ac:dyDescent="0.3">
      <c r="A104" t="s">
        <v>2277</v>
      </c>
      <c r="B104" t="s">
        <v>1796</v>
      </c>
      <c r="C104" t="s">
        <v>1799</v>
      </c>
      <c r="D104">
        <v>21</v>
      </c>
      <c r="E104" t="s">
        <v>1447</v>
      </c>
      <c r="F104" t="s">
        <v>1800</v>
      </c>
      <c r="G104" t="s">
        <v>1759</v>
      </c>
      <c r="H104" t="s">
        <v>2279</v>
      </c>
      <c r="I104" t="s">
        <v>2279</v>
      </c>
      <c r="J104" t="s">
        <v>2279</v>
      </c>
      <c r="K104" t="s">
        <v>2279</v>
      </c>
      <c r="L104" t="s">
        <v>1447</v>
      </c>
      <c r="M104" t="s">
        <v>2279</v>
      </c>
      <c r="N104" t="s">
        <v>2279</v>
      </c>
      <c r="O104" s="190" t="str">
        <f>"["&amp;$C104&amp;"]["&amp;$D104&amp;"]["&amp;$F104&amp;"]"</f>
        <v>[S03_ActivityPermits][21][ActivityPermitsIssued]</v>
      </c>
    </row>
    <row r="105" spans="1:15" x14ac:dyDescent="0.3">
      <c r="A105" t="s">
        <v>2277</v>
      </c>
      <c r="B105" t="s">
        <v>1796</v>
      </c>
      <c r="C105" t="s">
        <v>1799</v>
      </c>
      <c r="D105">
        <v>22</v>
      </c>
      <c r="E105" t="s">
        <v>1447</v>
      </c>
      <c r="F105" t="s">
        <v>1800</v>
      </c>
      <c r="G105" t="s">
        <v>1759</v>
      </c>
      <c r="H105" t="s">
        <v>2279</v>
      </c>
      <c r="I105" t="s">
        <v>2279</v>
      </c>
      <c r="J105" t="s">
        <v>2279</v>
      </c>
      <c r="K105" t="s">
        <v>2279</v>
      </c>
      <c r="L105" t="s">
        <v>1447</v>
      </c>
      <c r="M105" t="s">
        <v>2279</v>
      </c>
      <c r="N105" t="s">
        <v>2279</v>
      </c>
      <c r="O105" s="190" t="str">
        <f>"["&amp;$C105&amp;"]["&amp;$D105&amp;"]["&amp;$F105&amp;"]"</f>
        <v>[S03_ActivityPermits][22][ActivityPermitsIssued]</v>
      </c>
    </row>
    <row r="106" spans="1:15" x14ac:dyDescent="0.3">
      <c r="A106" t="s">
        <v>2277</v>
      </c>
      <c r="B106" t="s">
        <v>1796</v>
      </c>
      <c r="C106" t="s">
        <v>1799</v>
      </c>
      <c r="D106">
        <v>23</v>
      </c>
      <c r="E106" t="s">
        <v>1447</v>
      </c>
      <c r="F106" t="s">
        <v>1800</v>
      </c>
      <c r="G106" t="s">
        <v>1759</v>
      </c>
      <c r="H106" t="s">
        <v>2279</v>
      </c>
      <c r="I106" t="s">
        <v>2279</v>
      </c>
      <c r="J106" t="s">
        <v>2279</v>
      </c>
      <c r="K106" t="s">
        <v>2279</v>
      </c>
      <c r="L106" t="s">
        <v>1419</v>
      </c>
      <c r="M106" t="s">
        <v>2279</v>
      </c>
      <c r="N106" t="s">
        <v>2279</v>
      </c>
      <c r="O106" s="190" t="str">
        <f>"["&amp;$C106&amp;"]["&amp;$D106&amp;"]["&amp;$F106&amp;"]"</f>
        <v>[S03_ActivityPermits][23][ActivityPermitsIssued]</v>
      </c>
    </row>
    <row r="107" spans="1:15" x14ac:dyDescent="0.3">
      <c r="A107" t="s">
        <v>2277</v>
      </c>
      <c r="B107" t="s">
        <v>1796</v>
      </c>
      <c r="C107" t="s">
        <v>1799</v>
      </c>
      <c r="D107">
        <v>24</v>
      </c>
      <c r="E107" t="s">
        <v>1447</v>
      </c>
      <c r="F107" t="s">
        <v>1800</v>
      </c>
      <c r="G107" t="s">
        <v>1759</v>
      </c>
      <c r="H107" t="s">
        <v>2279</v>
      </c>
      <c r="I107" t="s">
        <v>2279</v>
      </c>
      <c r="J107" t="s">
        <v>2279</v>
      </c>
      <c r="K107" t="s">
        <v>2279</v>
      </c>
      <c r="L107" t="s">
        <v>1419</v>
      </c>
      <c r="M107" t="s">
        <v>2279</v>
      </c>
      <c r="N107" t="s">
        <v>2279</v>
      </c>
      <c r="O107" s="190" t="str">
        <f>"["&amp;$C107&amp;"]["&amp;$D107&amp;"]["&amp;$F107&amp;"]"</f>
        <v>[S03_ActivityPermits][24][ActivityPermitsIssued]</v>
      </c>
    </row>
    <row r="108" spans="1:15" x14ac:dyDescent="0.3">
      <c r="A108" t="s">
        <v>2277</v>
      </c>
      <c r="B108" t="s">
        <v>1796</v>
      </c>
      <c r="C108" t="s">
        <v>1799</v>
      </c>
      <c r="D108">
        <v>25</v>
      </c>
      <c r="E108" t="s">
        <v>1447</v>
      </c>
      <c r="F108" t="s">
        <v>1800</v>
      </c>
      <c r="G108" t="s">
        <v>1759</v>
      </c>
      <c r="H108" t="s">
        <v>2279</v>
      </c>
      <c r="I108" t="s">
        <v>2279</v>
      </c>
      <c r="J108" t="s">
        <v>2279</v>
      </c>
      <c r="K108" t="s">
        <v>2279</v>
      </c>
      <c r="L108" t="s">
        <v>1447</v>
      </c>
      <c r="M108" t="s">
        <v>2279</v>
      </c>
      <c r="N108" t="s">
        <v>2279</v>
      </c>
      <c r="O108" s="190" t="str">
        <f>"["&amp;$C108&amp;"]["&amp;$D108&amp;"]["&amp;$F108&amp;"]"</f>
        <v>[S03_ActivityPermits][25][ActivityPermitsIssued]</v>
      </c>
    </row>
    <row r="109" spans="1:15" x14ac:dyDescent="0.3">
      <c r="A109" t="s">
        <v>2277</v>
      </c>
      <c r="B109" t="s">
        <v>1796</v>
      </c>
      <c r="C109" t="s">
        <v>1799</v>
      </c>
      <c r="D109">
        <v>26</v>
      </c>
      <c r="E109" t="s">
        <v>1447</v>
      </c>
      <c r="F109" t="s">
        <v>1800</v>
      </c>
      <c r="G109" t="s">
        <v>1759</v>
      </c>
      <c r="H109" t="s">
        <v>2279</v>
      </c>
      <c r="I109" t="s">
        <v>2279</v>
      </c>
      <c r="J109" t="s">
        <v>2279</v>
      </c>
      <c r="K109" t="s">
        <v>2279</v>
      </c>
      <c r="L109" t="s">
        <v>1447</v>
      </c>
      <c r="M109" t="s">
        <v>2279</v>
      </c>
      <c r="N109" t="s">
        <v>2279</v>
      </c>
      <c r="O109" s="190" t="str">
        <f>"["&amp;$C109&amp;"]["&amp;$D109&amp;"]["&amp;$F109&amp;"]"</f>
        <v>[S03_ActivityPermits][26][ActivityPermitsIssued]</v>
      </c>
    </row>
    <row r="110" spans="1:15" x14ac:dyDescent="0.3">
      <c r="A110" t="s">
        <v>2277</v>
      </c>
      <c r="B110" t="s">
        <v>1796</v>
      </c>
      <c r="C110" t="s">
        <v>1799</v>
      </c>
      <c r="D110">
        <v>27</v>
      </c>
      <c r="E110" t="s">
        <v>1447</v>
      </c>
      <c r="F110" t="s">
        <v>1800</v>
      </c>
      <c r="G110" t="s">
        <v>1759</v>
      </c>
      <c r="H110" t="s">
        <v>2279</v>
      </c>
      <c r="I110" t="s">
        <v>2279</v>
      </c>
      <c r="J110" t="s">
        <v>2279</v>
      </c>
      <c r="K110" t="s">
        <v>2279</v>
      </c>
      <c r="L110" t="s">
        <v>1447</v>
      </c>
      <c r="M110" t="s">
        <v>2279</v>
      </c>
      <c r="N110" t="s">
        <v>2279</v>
      </c>
      <c r="O110" s="190" t="str">
        <f>"["&amp;$C110&amp;"]["&amp;$D110&amp;"]["&amp;$F110&amp;"]"</f>
        <v>[S03_ActivityPermits][27][ActivityPermitsIssued]</v>
      </c>
    </row>
    <row r="111" spans="1:15" x14ac:dyDescent="0.3">
      <c r="A111" t="s">
        <v>2277</v>
      </c>
      <c r="B111" t="s">
        <v>1796</v>
      </c>
      <c r="C111" t="s">
        <v>1799</v>
      </c>
      <c r="D111">
        <v>28</v>
      </c>
      <c r="E111" t="s">
        <v>1447</v>
      </c>
      <c r="F111" t="s">
        <v>1800</v>
      </c>
      <c r="G111" t="s">
        <v>1759</v>
      </c>
      <c r="H111" t="s">
        <v>2279</v>
      </c>
      <c r="I111" t="s">
        <v>2279</v>
      </c>
      <c r="J111" t="s">
        <v>2279</v>
      </c>
      <c r="K111" t="s">
        <v>2279</v>
      </c>
      <c r="L111" t="s">
        <v>1447</v>
      </c>
      <c r="M111" t="s">
        <v>2279</v>
      </c>
      <c r="N111" t="s">
        <v>2279</v>
      </c>
      <c r="O111" s="190" t="str">
        <f>"["&amp;$C111&amp;"]["&amp;$D111&amp;"]["&amp;$F111&amp;"]"</f>
        <v>[S03_ActivityPermits][28][ActivityPermitsIssued]</v>
      </c>
    </row>
    <row r="112" spans="1:15" x14ac:dyDescent="0.3">
      <c r="A112" t="s">
        <v>2277</v>
      </c>
      <c r="B112" t="s">
        <v>1801</v>
      </c>
      <c r="C112" t="s">
        <v>1802</v>
      </c>
      <c r="D112">
        <v>0</v>
      </c>
      <c r="E112" t="s">
        <v>1447</v>
      </c>
      <c r="F112" t="s">
        <v>1802</v>
      </c>
      <c r="G112" t="s">
        <v>1759</v>
      </c>
      <c r="H112" t="s">
        <v>2279</v>
      </c>
      <c r="I112" t="s">
        <v>2279</v>
      </c>
      <c r="J112" t="s">
        <v>2279</v>
      </c>
      <c r="K112" t="s">
        <v>2279</v>
      </c>
      <c r="L112" t="s">
        <v>1419</v>
      </c>
      <c r="M112" t="s">
        <v>2279</v>
      </c>
      <c r="N112" t="s">
        <v>2279</v>
      </c>
      <c r="O112" s="190" t="str">
        <f>"["&amp;$C112&amp;"]["&amp;$D112&amp;"]["&amp;$F112&amp;"]"</f>
        <v>[InstallationsExcludedArt27][0][InstallationsExcludedArt27]</v>
      </c>
    </row>
    <row r="113" spans="1:15" x14ac:dyDescent="0.3">
      <c r="A113" t="s">
        <v>2277</v>
      </c>
      <c r="B113" t="s">
        <v>1801</v>
      </c>
      <c r="C113" t="s">
        <v>1803</v>
      </c>
      <c r="D113">
        <v>1</v>
      </c>
      <c r="E113" t="s">
        <v>1447</v>
      </c>
      <c r="F113" t="s">
        <v>1804</v>
      </c>
      <c r="G113" t="s">
        <v>1737</v>
      </c>
      <c r="H113" t="s">
        <v>2279</v>
      </c>
      <c r="I113" t="s">
        <v>2279</v>
      </c>
      <c r="J113" t="s">
        <v>2279</v>
      </c>
      <c r="K113" t="s">
        <v>2279</v>
      </c>
      <c r="L113" t="s">
        <v>1423</v>
      </c>
      <c r="M113" t="s">
        <v>2279</v>
      </c>
      <c r="N113" t="s">
        <v>2279</v>
      </c>
      <c r="O113" s="190" t="str">
        <f>"["&amp;$C113&amp;"]["&amp;$D113&amp;"]["&amp;$F113&amp;"]"</f>
        <v>[S03_InstallationsExcludedArt27Detail][1][ExclusionArticle]</v>
      </c>
    </row>
    <row r="114" spans="1:15" x14ac:dyDescent="0.3">
      <c r="A114" t="s">
        <v>2277</v>
      </c>
      <c r="B114" t="s">
        <v>1801</v>
      </c>
      <c r="C114" t="s">
        <v>1803</v>
      </c>
      <c r="D114">
        <v>2</v>
      </c>
      <c r="E114" t="s">
        <v>1447</v>
      </c>
      <c r="F114" t="s">
        <v>1804</v>
      </c>
      <c r="G114" t="s">
        <v>1737</v>
      </c>
      <c r="H114" t="s">
        <v>2279</v>
      </c>
      <c r="I114" t="s">
        <v>2279</v>
      </c>
      <c r="J114" t="s">
        <v>2279</v>
      </c>
      <c r="K114" t="s">
        <v>2279</v>
      </c>
      <c r="L114" t="s">
        <v>1451</v>
      </c>
      <c r="M114" t="s">
        <v>2279</v>
      </c>
      <c r="N114" t="s">
        <v>2279</v>
      </c>
      <c r="O114" s="190" t="str">
        <f>"["&amp;$C114&amp;"]["&amp;$D114&amp;"]["&amp;$F114&amp;"]"</f>
        <v>[S03_InstallationsExcludedArt27Detail][2][ExclusionArticle]</v>
      </c>
    </row>
    <row r="115" spans="1:15" x14ac:dyDescent="0.3">
      <c r="A115" t="s">
        <v>2277</v>
      </c>
      <c r="B115" t="s">
        <v>1801</v>
      </c>
      <c r="C115" t="s">
        <v>1803</v>
      </c>
      <c r="D115">
        <v>3</v>
      </c>
      <c r="E115" t="s">
        <v>1447</v>
      </c>
      <c r="F115" t="s">
        <v>1804</v>
      </c>
      <c r="G115" t="s">
        <v>1737</v>
      </c>
      <c r="H115" t="s">
        <v>2279</v>
      </c>
      <c r="I115" t="s">
        <v>2279</v>
      </c>
      <c r="J115" t="s">
        <v>2279</v>
      </c>
      <c r="K115" t="s">
        <v>2279</v>
      </c>
      <c r="L115" t="s">
        <v>1480</v>
      </c>
      <c r="M115" t="s">
        <v>2279</v>
      </c>
      <c r="N115" t="s">
        <v>2279</v>
      </c>
      <c r="O115" s="190" t="str">
        <f>"["&amp;$C115&amp;"]["&amp;$D115&amp;"]["&amp;$F115&amp;"]"</f>
        <v>[S03_InstallationsExcludedArt27Detail][3][ExclusionArticle]</v>
      </c>
    </row>
    <row r="116" spans="1:15" x14ac:dyDescent="0.3">
      <c r="A116" t="s">
        <v>2277</v>
      </c>
      <c r="B116" t="s">
        <v>1801</v>
      </c>
      <c r="C116" t="s">
        <v>1803</v>
      </c>
      <c r="D116">
        <v>1</v>
      </c>
      <c r="E116" t="s">
        <v>1447</v>
      </c>
      <c r="F116" t="s">
        <v>1805</v>
      </c>
      <c r="G116" t="s">
        <v>1806</v>
      </c>
      <c r="H116" t="s">
        <v>2279</v>
      </c>
      <c r="I116" t="s">
        <v>2279</v>
      </c>
      <c r="J116">
        <v>0</v>
      </c>
      <c r="K116" t="s">
        <v>2279</v>
      </c>
      <c r="L116" t="s">
        <v>2279</v>
      </c>
      <c r="M116" t="s">
        <v>2279</v>
      </c>
      <c r="N116" t="s">
        <v>2279</v>
      </c>
      <c r="O116" s="190" t="str">
        <f>"["&amp;$C116&amp;"]["&amp;$D116&amp;"]["&amp;$F116&amp;"]"</f>
        <v>[S03_InstallationsExcludedArt27Detail][1][InstallationsExcludedEmissions]</v>
      </c>
    </row>
    <row r="117" spans="1:15" x14ac:dyDescent="0.3">
      <c r="A117" t="s">
        <v>2277</v>
      </c>
      <c r="B117" t="s">
        <v>1801</v>
      </c>
      <c r="C117" t="s">
        <v>1803</v>
      </c>
      <c r="D117">
        <v>2</v>
      </c>
      <c r="E117" t="s">
        <v>1447</v>
      </c>
      <c r="F117" t="s">
        <v>1805</v>
      </c>
      <c r="G117" t="s">
        <v>1806</v>
      </c>
      <c r="H117" t="s">
        <v>2279</v>
      </c>
      <c r="I117" t="s">
        <v>2279</v>
      </c>
      <c r="J117">
        <v>9289</v>
      </c>
      <c r="K117" t="s">
        <v>2279</v>
      </c>
      <c r="L117" t="s">
        <v>2279</v>
      </c>
      <c r="M117" t="s">
        <v>2279</v>
      </c>
      <c r="N117" t="s">
        <v>2279</v>
      </c>
      <c r="O117" s="190" t="str">
        <f>"["&amp;$C117&amp;"]["&amp;$D117&amp;"]["&amp;$F117&amp;"]"</f>
        <v>[S03_InstallationsExcludedArt27Detail][2][InstallationsExcludedEmissions]</v>
      </c>
    </row>
    <row r="118" spans="1:15" x14ac:dyDescent="0.3">
      <c r="A118" t="s">
        <v>2277</v>
      </c>
      <c r="B118" t="s">
        <v>1801</v>
      </c>
      <c r="C118" t="s">
        <v>1803</v>
      </c>
      <c r="D118">
        <v>3</v>
      </c>
      <c r="E118" t="s">
        <v>1447</v>
      </c>
      <c r="F118" t="s">
        <v>1805</v>
      </c>
      <c r="G118" t="s">
        <v>1806</v>
      </c>
      <c r="H118" t="s">
        <v>2279</v>
      </c>
      <c r="I118" t="s">
        <v>2279</v>
      </c>
      <c r="J118">
        <v>0</v>
      </c>
      <c r="K118" t="s">
        <v>2279</v>
      </c>
      <c r="L118" t="s">
        <v>2279</v>
      </c>
      <c r="M118" t="s">
        <v>2279</v>
      </c>
      <c r="N118" t="s">
        <v>2279</v>
      </c>
      <c r="O118" s="190" t="str">
        <f>"["&amp;$C118&amp;"]["&amp;$D118&amp;"]["&amp;$F118&amp;"]"</f>
        <v>[S03_InstallationsExcludedArt27Detail][3][InstallationsExcludedEmissions]</v>
      </c>
    </row>
    <row r="119" spans="1:15" x14ac:dyDescent="0.3">
      <c r="A119" t="s">
        <v>2277</v>
      </c>
      <c r="B119" t="s">
        <v>1801</v>
      </c>
      <c r="C119" t="s">
        <v>1803</v>
      </c>
      <c r="D119">
        <v>1</v>
      </c>
      <c r="E119" t="s">
        <v>1447</v>
      </c>
      <c r="F119" t="s">
        <v>1807</v>
      </c>
      <c r="G119" t="s">
        <v>1748</v>
      </c>
      <c r="H119" t="s">
        <v>2279</v>
      </c>
      <c r="I119">
        <v>0</v>
      </c>
      <c r="J119" t="s">
        <v>2279</v>
      </c>
      <c r="K119" t="s">
        <v>2279</v>
      </c>
      <c r="L119" t="s">
        <v>2279</v>
      </c>
      <c r="M119" t="s">
        <v>2279</v>
      </c>
      <c r="N119" t="s">
        <v>2279</v>
      </c>
      <c r="O119" s="190" t="str">
        <f>"["&amp;$C119&amp;"]["&amp;$D119&amp;"]["&amp;$F119&amp;"]"</f>
        <v>[S03_InstallationsExcludedArt27Detail][1][InstallationsExceededThreshold]</v>
      </c>
    </row>
    <row r="120" spans="1:15" x14ac:dyDescent="0.3">
      <c r="A120" t="s">
        <v>2277</v>
      </c>
      <c r="B120" t="s">
        <v>1801</v>
      </c>
      <c r="C120" t="s">
        <v>1803</v>
      </c>
      <c r="D120">
        <v>2</v>
      </c>
      <c r="E120" t="s">
        <v>1447</v>
      </c>
      <c r="F120" t="s">
        <v>1807</v>
      </c>
      <c r="G120" t="s">
        <v>1748</v>
      </c>
      <c r="H120" t="s">
        <v>2279</v>
      </c>
      <c r="I120">
        <v>1</v>
      </c>
      <c r="J120" t="s">
        <v>2279</v>
      </c>
      <c r="K120" t="s">
        <v>2279</v>
      </c>
      <c r="L120" t="s">
        <v>2279</v>
      </c>
      <c r="M120" t="s">
        <v>2279</v>
      </c>
      <c r="N120" t="s">
        <v>2279</v>
      </c>
      <c r="O120" s="190" t="str">
        <f>"["&amp;$C120&amp;"]["&amp;$D120&amp;"]["&amp;$F120&amp;"]"</f>
        <v>[S03_InstallationsExcludedArt27Detail][2][InstallationsExceededThreshold]</v>
      </c>
    </row>
    <row r="121" spans="1:15" x14ac:dyDescent="0.3">
      <c r="A121" t="s">
        <v>2277</v>
      </c>
      <c r="B121" t="s">
        <v>1801</v>
      </c>
      <c r="C121" t="s">
        <v>1803</v>
      </c>
      <c r="D121">
        <v>3</v>
      </c>
      <c r="E121" t="s">
        <v>1447</v>
      </c>
      <c r="F121" t="s">
        <v>1807</v>
      </c>
      <c r="G121" t="s">
        <v>1748</v>
      </c>
      <c r="H121" t="s">
        <v>2279</v>
      </c>
      <c r="I121">
        <v>0</v>
      </c>
      <c r="J121" t="s">
        <v>2279</v>
      </c>
      <c r="K121" t="s">
        <v>2279</v>
      </c>
      <c r="L121" t="s">
        <v>2279</v>
      </c>
      <c r="M121" t="s">
        <v>2279</v>
      </c>
      <c r="N121" t="s">
        <v>2279</v>
      </c>
      <c r="O121" s="190" t="str">
        <f>"["&amp;$C121&amp;"]["&amp;$D121&amp;"]["&amp;$F121&amp;"]"</f>
        <v>[S03_InstallationsExcludedArt27Detail][3][InstallationsExceededThreshold]</v>
      </c>
    </row>
    <row r="122" spans="1:15" x14ac:dyDescent="0.3">
      <c r="A122" t="s">
        <v>2277</v>
      </c>
      <c r="B122" t="s">
        <v>1801</v>
      </c>
      <c r="C122" t="s">
        <v>1808</v>
      </c>
      <c r="D122">
        <v>0</v>
      </c>
      <c r="E122" t="s">
        <v>1447</v>
      </c>
      <c r="F122" t="s">
        <v>1809</v>
      </c>
      <c r="G122" t="s">
        <v>1748</v>
      </c>
      <c r="H122" t="s">
        <v>2279</v>
      </c>
      <c r="I122">
        <v>0</v>
      </c>
      <c r="J122" t="s">
        <v>2279</v>
      </c>
      <c r="K122" t="s">
        <v>2279</v>
      </c>
      <c r="L122" t="s">
        <v>2279</v>
      </c>
      <c r="M122" t="s">
        <v>2279</v>
      </c>
      <c r="N122" t="s">
        <v>2279</v>
      </c>
      <c r="O122" s="190" t="str">
        <f>"["&amp;$C122&amp;"]["&amp;$D122&amp;"]["&amp;$F122&amp;"]"</f>
        <v>[S03_InstallationsExcludedClosed][0][ClosedArt27]</v>
      </c>
    </row>
    <row r="123" spans="1:15" x14ac:dyDescent="0.3">
      <c r="A123" t="s">
        <v>2277</v>
      </c>
      <c r="B123" t="s">
        <v>1801</v>
      </c>
      <c r="C123" t="s">
        <v>1808</v>
      </c>
      <c r="D123">
        <v>0</v>
      </c>
      <c r="E123" t="s">
        <v>1447</v>
      </c>
      <c r="F123" t="s">
        <v>1810</v>
      </c>
      <c r="G123" t="s">
        <v>1748</v>
      </c>
      <c r="H123" t="s">
        <v>2279</v>
      </c>
      <c r="I123">
        <v>0</v>
      </c>
      <c r="J123" t="s">
        <v>2279</v>
      </c>
      <c r="K123" t="s">
        <v>2279</v>
      </c>
      <c r="L123" t="s">
        <v>2279</v>
      </c>
      <c r="M123" t="s">
        <v>2279</v>
      </c>
      <c r="N123" t="s">
        <v>2279</v>
      </c>
      <c r="O123" s="190" t="str">
        <f>"["&amp;$C123&amp;"]["&amp;$D123&amp;"]["&amp;$F123&amp;"]"</f>
        <v>[S03_InstallationsExcludedClosed][0][ClosedArt27a]</v>
      </c>
    </row>
    <row r="124" spans="1:15" x14ac:dyDescent="0.3">
      <c r="A124" t="s">
        <v>2277</v>
      </c>
      <c r="B124" t="s">
        <v>1811</v>
      </c>
      <c r="C124" t="s">
        <v>1812</v>
      </c>
      <c r="D124">
        <v>1</v>
      </c>
      <c r="E124" t="s">
        <v>1447</v>
      </c>
      <c r="F124" t="s">
        <v>1813</v>
      </c>
      <c r="G124" t="s">
        <v>1748</v>
      </c>
      <c r="H124" t="s">
        <v>2279</v>
      </c>
      <c r="I124">
        <v>2</v>
      </c>
      <c r="J124" t="s">
        <v>2279</v>
      </c>
      <c r="K124" t="s">
        <v>2279</v>
      </c>
      <c r="L124" t="s">
        <v>2279</v>
      </c>
      <c r="M124" t="s">
        <v>2279</v>
      </c>
      <c r="N124" t="s">
        <v>2279</v>
      </c>
      <c r="O124" s="190" t="str">
        <f>"["&amp;$C124&amp;"]["&amp;$D124&amp;"]["&amp;$F124&amp;"]"</f>
        <v>[S03_AircraftAnnex1Activities][1][NumberCommercialOperators]</v>
      </c>
    </row>
    <row r="125" spans="1:15" x14ac:dyDescent="0.3">
      <c r="A125" t="s">
        <v>2277</v>
      </c>
      <c r="B125" t="s">
        <v>1811</v>
      </c>
      <c r="C125" t="s">
        <v>1812</v>
      </c>
      <c r="D125">
        <v>2</v>
      </c>
      <c r="E125" t="s">
        <v>1447</v>
      </c>
      <c r="F125" t="s">
        <v>1813</v>
      </c>
      <c r="G125" t="s">
        <v>1748</v>
      </c>
      <c r="H125" t="s">
        <v>2279</v>
      </c>
      <c r="I125">
        <v>2</v>
      </c>
      <c r="J125" t="s">
        <v>2279</v>
      </c>
      <c r="K125" t="s">
        <v>2279</v>
      </c>
      <c r="L125" t="s">
        <v>2279</v>
      </c>
      <c r="M125" t="s">
        <v>2279</v>
      </c>
      <c r="N125" t="s">
        <v>2279</v>
      </c>
      <c r="O125" s="190" t="str">
        <f>"["&amp;$C125&amp;"]["&amp;$D125&amp;"]["&amp;$F125&amp;"]"</f>
        <v>[S03_AircraftAnnex1Activities][2][NumberCommercialOperators]</v>
      </c>
    </row>
    <row r="126" spans="1:15" x14ac:dyDescent="0.3">
      <c r="A126" t="s">
        <v>2277</v>
      </c>
      <c r="B126" t="s">
        <v>1811</v>
      </c>
      <c r="C126" t="s">
        <v>1812</v>
      </c>
      <c r="D126">
        <v>1</v>
      </c>
      <c r="E126" t="s">
        <v>1447</v>
      </c>
      <c r="F126" t="s">
        <v>1814</v>
      </c>
      <c r="G126" t="s">
        <v>1748</v>
      </c>
      <c r="H126" t="s">
        <v>2279</v>
      </c>
      <c r="I126">
        <v>0</v>
      </c>
      <c r="J126" t="s">
        <v>2279</v>
      </c>
      <c r="K126" t="s">
        <v>2279</v>
      </c>
      <c r="L126" t="s">
        <v>2279</v>
      </c>
      <c r="M126" t="s">
        <v>2279</v>
      </c>
      <c r="N126" t="s">
        <v>2279</v>
      </c>
      <c r="O126" s="190" t="str">
        <f>"["&amp;$C126&amp;"]["&amp;$D126&amp;"]["&amp;$F126&amp;"]"</f>
        <v>[S03_AircraftAnnex1Activities][1][NumberNonCommercialOperators]</v>
      </c>
    </row>
    <row r="127" spans="1:15" x14ac:dyDescent="0.3">
      <c r="A127" t="s">
        <v>2277</v>
      </c>
      <c r="B127" t="s">
        <v>1811</v>
      </c>
      <c r="C127" t="s">
        <v>1812</v>
      </c>
      <c r="D127">
        <v>2</v>
      </c>
      <c r="E127" t="s">
        <v>1447</v>
      </c>
      <c r="F127" t="s">
        <v>1814</v>
      </c>
      <c r="G127" t="s">
        <v>1748</v>
      </c>
      <c r="H127" t="s">
        <v>2279</v>
      </c>
      <c r="I127">
        <v>0</v>
      </c>
      <c r="J127" t="s">
        <v>2279</v>
      </c>
      <c r="K127" t="s">
        <v>2279</v>
      </c>
      <c r="L127" t="s">
        <v>2279</v>
      </c>
      <c r="M127" t="s">
        <v>2279</v>
      </c>
      <c r="N127" t="s">
        <v>2279</v>
      </c>
      <c r="O127" s="190" t="str">
        <f>"["&amp;$C127&amp;"]["&amp;$D127&amp;"]["&amp;$F127&amp;"]"</f>
        <v>[S03_AircraftAnnex1Activities][2][NumberNonCommercialOperators]</v>
      </c>
    </row>
    <row r="128" spans="1:15" x14ac:dyDescent="0.3">
      <c r="A128" t="s">
        <v>2277</v>
      </c>
      <c r="B128" t="s">
        <v>1811</v>
      </c>
      <c r="C128" t="s">
        <v>1812</v>
      </c>
      <c r="D128">
        <v>1</v>
      </c>
      <c r="E128" t="s">
        <v>1447</v>
      </c>
      <c r="F128" t="s">
        <v>1815</v>
      </c>
      <c r="G128" t="s">
        <v>1748</v>
      </c>
      <c r="H128" t="s">
        <v>2279</v>
      </c>
      <c r="I128">
        <v>2</v>
      </c>
      <c r="J128" t="s">
        <v>2279</v>
      </c>
      <c r="K128" t="s">
        <v>2279</v>
      </c>
      <c r="L128" t="s">
        <v>2279</v>
      </c>
      <c r="M128" t="s">
        <v>2279</v>
      </c>
      <c r="N128" t="s">
        <v>2279</v>
      </c>
      <c r="O128" s="190" t="str">
        <f>"["&amp;$C128&amp;"]["&amp;$D128&amp;"]["&amp;$F128&amp;"]"</f>
        <v>[S03_AircraftAnnex1Activities][1][NumberTotalOperators]</v>
      </c>
    </row>
    <row r="129" spans="1:15" x14ac:dyDescent="0.3">
      <c r="A129" t="s">
        <v>2277</v>
      </c>
      <c r="B129" t="s">
        <v>1811</v>
      </c>
      <c r="C129" t="s">
        <v>1812</v>
      </c>
      <c r="D129">
        <v>2</v>
      </c>
      <c r="E129" t="s">
        <v>1447</v>
      </c>
      <c r="F129" t="s">
        <v>1815</v>
      </c>
      <c r="G129" t="s">
        <v>1748</v>
      </c>
      <c r="H129" t="s">
        <v>2279</v>
      </c>
      <c r="I129">
        <v>2</v>
      </c>
      <c r="J129" t="s">
        <v>2279</v>
      </c>
      <c r="K129" t="s">
        <v>2279</v>
      </c>
      <c r="L129" t="s">
        <v>2279</v>
      </c>
      <c r="M129" t="s">
        <v>2279</v>
      </c>
      <c r="N129" t="s">
        <v>2279</v>
      </c>
      <c r="O129" s="190" t="str">
        <f>"["&amp;$C129&amp;"]["&amp;$D129&amp;"]["&amp;$F129&amp;"]"</f>
        <v>[S03_AircraftAnnex1Activities][2][NumberTotalOperators]</v>
      </c>
    </row>
    <row r="130" spans="1:15" x14ac:dyDescent="0.3">
      <c r="A130" t="s">
        <v>2277</v>
      </c>
      <c r="B130" t="s">
        <v>1816</v>
      </c>
      <c r="C130" t="s">
        <v>1817</v>
      </c>
      <c r="D130">
        <v>1</v>
      </c>
      <c r="E130" t="s">
        <v>1447</v>
      </c>
      <c r="F130" t="s">
        <v>1818</v>
      </c>
      <c r="G130" t="s">
        <v>1737</v>
      </c>
      <c r="H130" t="s">
        <v>2279</v>
      </c>
      <c r="I130" t="s">
        <v>2279</v>
      </c>
      <c r="J130" t="s">
        <v>2279</v>
      </c>
      <c r="K130" t="s">
        <v>2279</v>
      </c>
      <c r="L130" t="s">
        <v>1447</v>
      </c>
      <c r="M130" t="s">
        <v>2279</v>
      </c>
      <c r="N130" t="s">
        <v>2279</v>
      </c>
      <c r="O130" s="190" t="str">
        <f>"["&amp;$C130&amp;"]["&amp;$D130&amp;"]["&amp;$F130&amp;"]"</f>
        <v>[S04_IEDProcedureRequirementsIntegratedYes][1][IntegrationYesNo]</v>
      </c>
    </row>
    <row r="131" spans="1:15" x14ac:dyDescent="0.3">
      <c r="A131" t="s">
        <v>2277</v>
      </c>
      <c r="B131" t="s">
        <v>1816</v>
      </c>
      <c r="C131" t="s">
        <v>1817</v>
      </c>
      <c r="D131">
        <v>2</v>
      </c>
      <c r="E131" t="s">
        <v>1447</v>
      </c>
      <c r="F131" t="s">
        <v>1818</v>
      </c>
      <c r="G131" t="s">
        <v>1737</v>
      </c>
      <c r="H131" t="s">
        <v>2279</v>
      </c>
      <c r="I131" t="s">
        <v>2279</v>
      </c>
      <c r="J131" t="s">
        <v>2279</v>
      </c>
      <c r="K131" t="s">
        <v>2279</v>
      </c>
      <c r="L131" t="s">
        <v>1447</v>
      </c>
      <c r="M131" t="s">
        <v>2279</v>
      </c>
      <c r="N131" t="s">
        <v>2279</v>
      </c>
      <c r="O131" s="190" t="str">
        <f>"["&amp;$C131&amp;"]["&amp;$D131&amp;"]["&amp;$F131&amp;"]"</f>
        <v>[S04_IEDProcedureRequirementsIntegratedYes][2][IntegrationYesNo]</v>
      </c>
    </row>
    <row r="132" spans="1:15" x14ac:dyDescent="0.3">
      <c r="A132" t="s">
        <v>2277</v>
      </c>
      <c r="B132" t="s">
        <v>1816</v>
      </c>
      <c r="C132" t="s">
        <v>1817</v>
      </c>
      <c r="D132">
        <v>3</v>
      </c>
      <c r="E132" t="s">
        <v>1447</v>
      </c>
      <c r="F132" t="s">
        <v>1818</v>
      </c>
      <c r="G132" t="s">
        <v>1737</v>
      </c>
      <c r="H132" t="s">
        <v>2279</v>
      </c>
      <c r="I132" t="s">
        <v>2279</v>
      </c>
      <c r="J132" t="s">
        <v>2279</v>
      </c>
      <c r="K132" t="s">
        <v>2279</v>
      </c>
      <c r="L132" t="s">
        <v>1447</v>
      </c>
      <c r="M132" t="s">
        <v>2279</v>
      </c>
      <c r="N132" t="s">
        <v>2279</v>
      </c>
      <c r="O132" s="190" t="str">
        <f>"["&amp;$C132&amp;"]["&amp;$D132&amp;"]["&amp;$F132&amp;"]"</f>
        <v>[S04_IEDProcedureRequirementsIntegratedYes][3][IntegrationYesNo]</v>
      </c>
    </row>
    <row r="133" spans="1:15" x14ac:dyDescent="0.3">
      <c r="A133" t="s">
        <v>2277</v>
      </c>
      <c r="B133" t="s">
        <v>1816</v>
      </c>
      <c r="C133" t="s">
        <v>1817</v>
      </c>
      <c r="D133">
        <v>4</v>
      </c>
      <c r="E133" t="s">
        <v>1447</v>
      </c>
      <c r="F133" t="s">
        <v>1818</v>
      </c>
      <c r="G133" t="s">
        <v>1737</v>
      </c>
      <c r="H133" t="s">
        <v>2279</v>
      </c>
      <c r="I133" t="s">
        <v>2279</v>
      </c>
      <c r="J133" t="s">
        <v>2279</v>
      </c>
      <c r="K133" t="s">
        <v>2279</v>
      </c>
      <c r="L133" t="s">
        <v>1447</v>
      </c>
      <c r="M133" t="s">
        <v>2279</v>
      </c>
      <c r="N133" t="s">
        <v>2279</v>
      </c>
      <c r="O133" s="190" t="str">
        <f>"["&amp;$C133&amp;"]["&amp;$D133&amp;"]["&amp;$F133&amp;"]"</f>
        <v>[S04_IEDProcedureRequirementsIntegratedYes][4][IntegrationYesNo]</v>
      </c>
    </row>
    <row r="134" spans="1:15" x14ac:dyDescent="0.3">
      <c r="A134" t="s">
        <v>2277</v>
      </c>
      <c r="B134" t="s">
        <v>1816</v>
      </c>
      <c r="C134" t="s">
        <v>1817</v>
      </c>
      <c r="D134">
        <v>5</v>
      </c>
      <c r="E134" t="s">
        <v>1447</v>
      </c>
      <c r="F134" t="s">
        <v>1818</v>
      </c>
      <c r="G134" t="s">
        <v>1737</v>
      </c>
      <c r="H134" t="s">
        <v>2279</v>
      </c>
      <c r="I134" t="s">
        <v>2279</v>
      </c>
      <c r="J134" t="s">
        <v>2279</v>
      </c>
      <c r="K134" t="s">
        <v>2279</v>
      </c>
      <c r="L134" t="s">
        <v>1447</v>
      </c>
      <c r="M134" t="s">
        <v>2279</v>
      </c>
      <c r="N134" t="s">
        <v>2279</v>
      </c>
      <c r="O134" s="190" t="str">
        <f>"["&amp;$C134&amp;"]["&amp;$D134&amp;"]["&amp;$F134&amp;"]"</f>
        <v>[S04_IEDProcedureRequirementsIntegratedYes][5][IntegrationYesNo]</v>
      </c>
    </row>
    <row r="135" spans="1:15" x14ac:dyDescent="0.3">
      <c r="A135" t="s">
        <v>2277</v>
      </c>
      <c r="B135" t="s">
        <v>1816</v>
      </c>
      <c r="C135" t="s">
        <v>1817</v>
      </c>
      <c r="D135">
        <v>6</v>
      </c>
      <c r="E135" t="s">
        <v>1447</v>
      </c>
      <c r="F135" t="s">
        <v>1818</v>
      </c>
      <c r="G135" t="s">
        <v>1737</v>
      </c>
      <c r="H135" t="s">
        <v>2279</v>
      </c>
      <c r="I135" t="s">
        <v>2279</v>
      </c>
      <c r="J135" t="s">
        <v>2279</v>
      </c>
      <c r="K135" t="s">
        <v>2279</v>
      </c>
      <c r="L135" t="s">
        <v>1447</v>
      </c>
      <c r="M135" t="s">
        <v>2279</v>
      </c>
      <c r="N135" t="s">
        <v>2279</v>
      </c>
      <c r="O135" s="190" t="str">
        <f>"["&amp;$C135&amp;"]["&amp;$D135&amp;"]["&amp;$F135&amp;"]"</f>
        <v>[S04_IEDProcedureRequirementsIntegratedYes][6][IntegrationYesNo]</v>
      </c>
    </row>
    <row r="136" spans="1:15" x14ac:dyDescent="0.3">
      <c r="A136" t="s">
        <v>2277</v>
      </c>
      <c r="B136" t="s">
        <v>1816</v>
      </c>
      <c r="C136" t="s">
        <v>1817</v>
      </c>
      <c r="D136">
        <v>7</v>
      </c>
      <c r="E136" t="s">
        <v>1447</v>
      </c>
      <c r="F136" t="s">
        <v>1818</v>
      </c>
      <c r="G136" t="s">
        <v>1737</v>
      </c>
      <c r="H136" t="s">
        <v>2279</v>
      </c>
      <c r="I136" t="s">
        <v>2279</v>
      </c>
      <c r="J136" t="s">
        <v>2279</v>
      </c>
      <c r="K136" t="s">
        <v>2279</v>
      </c>
      <c r="L136" t="s">
        <v>1447</v>
      </c>
      <c r="M136" t="s">
        <v>2279</v>
      </c>
      <c r="N136" t="s">
        <v>2279</v>
      </c>
      <c r="O136" s="190" t="str">
        <f>"["&amp;$C136&amp;"]["&amp;$D136&amp;"]["&amp;$F136&amp;"]"</f>
        <v>[S04_IEDProcedureRequirementsIntegratedYes][7][IntegrationYesNo]</v>
      </c>
    </row>
    <row r="137" spans="1:15" x14ac:dyDescent="0.3">
      <c r="A137" t="s">
        <v>2277</v>
      </c>
      <c r="B137" t="s">
        <v>1816</v>
      </c>
      <c r="C137" t="s">
        <v>1817</v>
      </c>
      <c r="D137">
        <v>8</v>
      </c>
      <c r="E137" t="s">
        <v>1447</v>
      </c>
      <c r="F137" t="s">
        <v>1818</v>
      </c>
      <c r="G137" t="s">
        <v>1737</v>
      </c>
      <c r="H137" t="s">
        <v>2279</v>
      </c>
      <c r="I137" t="s">
        <v>2279</v>
      </c>
      <c r="J137" t="s">
        <v>2279</v>
      </c>
      <c r="K137" t="s">
        <v>2279</v>
      </c>
      <c r="L137" t="s">
        <v>1447</v>
      </c>
      <c r="M137" t="s">
        <v>2279</v>
      </c>
      <c r="N137" t="s">
        <v>2279</v>
      </c>
      <c r="O137" s="190" t="str">
        <f>"["&amp;$C137&amp;"]["&amp;$D137&amp;"]["&amp;$F137&amp;"]"</f>
        <v>[S04_IEDProcedureRequirementsIntegratedYes][8][IntegrationYesNo]</v>
      </c>
    </row>
    <row r="138" spans="1:15" x14ac:dyDescent="0.3">
      <c r="A138" t="s">
        <v>2277</v>
      </c>
      <c r="B138" t="s">
        <v>1816</v>
      </c>
      <c r="C138" t="s">
        <v>1817</v>
      </c>
      <c r="D138">
        <v>5</v>
      </c>
      <c r="E138" t="s">
        <v>1447</v>
      </c>
      <c r="F138" t="s">
        <v>1819</v>
      </c>
      <c r="G138" t="s">
        <v>1791</v>
      </c>
      <c r="H138" t="s">
        <v>2279</v>
      </c>
      <c r="I138" t="s">
        <v>2279</v>
      </c>
      <c r="J138" t="s">
        <v>2279</v>
      </c>
      <c r="K138" t="s">
        <v>2310</v>
      </c>
      <c r="L138" t="s">
        <v>2279</v>
      </c>
      <c r="M138" t="s">
        <v>2279</v>
      </c>
      <c r="N138" t="s">
        <v>2279</v>
      </c>
      <c r="O138" s="190" t="str">
        <f>"["&amp;$C138&amp;"]["&amp;$D138&amp;"]["&amp;$F138&amp;"]"</f>
        <v>[S04_IEDProcedureRequirementsIntegratedYes][5][IntegrationComments]</v>
      </c>
    </row>
    <row r="139" spans="1:15" x14ac:dyDescent="0.3">
      <c r="A139" t="s">
        <v>2277</v>
      </c>
      <c r="B139" t="s">
        <v>1820</v>
      </c>
      <c r="C139" t="s">
        <v>1821</v>
      </c>
      <c r="D139">
        <v>1</v>
      </c>
      <c r="E139" t="s">
        <v>1447</v>
      </c>
      <c r="F139" t="s">
        <v>1822</v>
      </c>
      <c r="G139" t="s">
        <v>1741</v>
      </c>
      <c r="H139" t="s">
        <v>2311</v>
      </c>
      <c r="I139" t="s">
        <v>2279</v>
      </c>
      <c r="J139" t="s">
        <v>2279</v>
      </c>
      <c r="K139" t="s">
        <v>2279</v>
      </c>
      <c r="L139" t="s">
        <v>2279</v>
      </c>
      <c r="M139" t="s">
        <v>2279</v>
      </c>
      <c r="N139" t="s">
        <v>2279</v>
      </c>
      <c r="O139" s="190" t="str">
        <f>"["&amp;$C139&amp;"]["&amp;$D139&amp;"]["&amp;$F139&amp;"]"</f>
        <v>[S04_NationalLawPermitUpdate][1][PermitUpdateNationalLawDetail]</v>
      </c>
    </row>
    <row r="140" spans="1:15" x14ac:dyDescent="0.3">
      <c r="A140" t="s">
        <v>2277</v>
      </c>
      <c r="B140" t="s">
        <v>1820</v>
      </c>
      <c r="C140" t="s">
        <v>1821</v>
      </c>
      <c r="D140">
        <v>2</v>
      </c>
      <c r="E140" t="s">
        <v>1447</v>
      </c>
      <c r="F140" t="s">
        <v>1822</v>
      </c>
      <c r="G140" t="s">
        <v>1741</v>
      </c>
      <c r="H140" t="s">
        <v>2312</v>
      </c>
      <c r="I140" t="s">
        <v>2279</v>
      </c>
      <c r="J140" t="s">
        <v>2279</v>
      </c>
      <c r="K140" t="s">
        <v>2279</v>
      </c>
      <c r="L140" t="s">
        <v>2279</v>
      </c>
      <c r="M140" t="s">
        <v>2279</v>
      </c>
      <c r="N140" t="s">
        <v>2279</v>
      </c>
      <c r="O140" s="190" t="str">
        <f>"["&amp;$C140&amp;"]["&amp;$D140&amp;"]["&amp;$F140&amp;"]"</f>
        <v>[S04_NationalLawPermitUpdate][2][PermitUpdateNationalLawDetail]</v>
      </c>
    </row>
    <row r="141" spans="1:15" x14ac:dyDescent="0.3">
      <c r="A141" t="s">
        <v>2277</v>
      </c>
      <c r="B141" t="s">
        <v>1820</v>
      </c>
      <c r="C141" t="s">
        <v>1821</v>
      </c>
      <c r="D141">
        <v>3</v>
      </c>
      <c r="E141" t="s">
        <v>1447</v>
      </c>
      <c r="F141" t="s">
        <v>1822</v>
      </c>
      <c r="G141" t="s">
        <v>1741</v>
      </c>
      <c r="H141" t="s">
        <v>2313</v>
      </c>
      <c r="I141" t="s">
        <v>2279</v>
      </c>
      <c r="J141" t="s">
        <v>2279</v>
      </c>
      <c r="K141" t="s">
        <v>2279</v>
      </c>
      <c r="L141" t="s">
        <v>2279</v>
      </c>
      <c r="M141" t="s">
        <v>2279</v>
      </c>
      <c r="N141" t="s">
        <v>2279</v>
      </c>
      <c r="O141" s="190" t="str">
        <f>"["&amp;$C141&amp;"]["&amp;$D141&amp;"]["&amp;$F141&amp;"]"</f>
        <v>[S04_NationalLawPermitUpdate][3][PermitUpdateNationalLawDetail]</v>
      </c>
    </row>
    <row r="142" spans="1:15" x14ac:dyDescent="0.3">
      <c r="A142" t="s">
        <v>2277</v>
      </c>
      <c r="B142" t="s">
        <v>1820</v>
      </c>
      <c r="C142" t="s">
        <v>1821</v>
      </c>
      <c r="D142">
        <v>4</v>
      </c>
      <c r="E142" t="s">
        <v>1447</v>
      </c>
      <c r="F142" t="s">
        <v>1822</v>
      </c>
      <c r="G142" t="s">
        <v>1741</v>
      </c>
      <c r="H142" t="s">
        <v>2313</v>
      </c>
      <c r="I142" t="s">
        <v>2279</v>
      </c>
      <c r="J142" t="s">
        <v>2279</v>
      </c>
      <c r="K142" t="s">
        <v>2279</v>
      </c>
      <c r="L142" t="s">
        <v>2279</v>
      </c>
      <c r="M142" t="s">
        <v>2279</v>
      </c>
      <c r="N142" t="s">
        <v>2279</v>
      </c>
      <c r="O142" s="190" t="str">
        <f>"["&amp;$C142&amp;"]["&amp;$D142&amp;"]["&amp;$F142&amp;"]"</f>
        <v>[S04_NationalLawPermitUpdate][4][PermitUpdateNationalLawDetail]</v>
      </c>
    </row>
    <row r="143" spans="1:15" x14ac:dyDescent="0.3">
      <c r="A143" t="s">
        <v>2277</v>
      </c>
      <c r="B143" t="s">
        <v>1820</v>
      </c>
      <c r="C143" t="s">
        <v>1821</v>
      </c>
      <c r="D143">
        <v>5</v>
      </c>
      <c r="E143" t="s">
        <v>1447</v>
      </c>
      <c r="F143" t="s">
        <v>1822</v>
      </c>
      <c r="G143" t="s">
        <v>1741</v>
      </c>
      <c r="H143" t="s">
        <v>2314</v>
      </c>
      <c r="I143" t="s">
        <v>2279</v>
      </c>
      <c r="J143" t="s">
        <v>2279</v>
      </c>
      <c r="K143" t="s">
        <v>2279</v>
      </c>
      <c r="L143" t="s">
        <v>2279</v>
      </c>
      <c r="M143" t="s">
        <v>2279</v>
      </c>
      <c r="N143" t="s">
        <v>2279</v>
      </c>
      <c r="O143" s="190" t="str">
        <f>"["&amp;$C143&amp;"]["&amp;$D143&amp;"]["&amp;$F143&amp;"]"</f>
        <v>[S04_NationalLawPermitUpdate][5][PermitUpdateNationalLawDetail]</v>
      </c>
    </row>
    <row r="144" spans="1:15" x14ac:dyDescent="0.3">
      <c r="A144" t="s">
        <v>2277</v>
      </c>
      <c r="B144" t="s">
        <v>1820</v>
      </c>
      <c r="C144" t="s">
        <v>1821</v>
      </c>
      <c r="D144">
        <v>6</v>
      </c>
      <c r="E144" t="s">
        <v>1447</v>
      </c>
      <c r="F144" t="s">
        <v>1822</v>
      </c>
      <c r="G144" t="s">
        <v>1741</v>
      </c>
      <c r="H144" t="s">
        <v>2315</v>
      </c>
      <c r="I144" t="s">
        <v>2279</v>
      </c>
      <c r="J144" t="s">
        <v>2279</v>
      </c>
      <c r="K144" t="s">
        <v>2279</v>
      </c>
      <c r="L144" t="s">
        <v>2279</v>
      </c>
      <c r="M144" t="s">
        <v>2279</v>
      </c>
      <c r="N144" t="s">
        <v>2279</v>
      </c>
      <c r="O144" s="190" t="str">
        <f>"["&amp;$C144&amp;"]["&amp;$D144&amp;"]["&amp;$F144&amp;"]"</f>
        <v>[S04_NationalLawPermitUpdate][6][PermitUpdateNationalLawDetail]</v>
      </c>
    </row>
    <row r="145" spans="1:15" x14ac:dyDescent="0.3">
      <c r="A145" t="s">
        <v>2277</v>
      </c>
      <c r="B145" t="s">
        <v>1820</v>
      </c>
      <c r="C145" t="s">
        <v>1823</v>
      </c>
      <c r="D145">
        <v>0</v>
      </c>
      <c r="E145" t="s">
        <v>1447</v>
      </c>
      <c r="F145" t="s">
        <v>1823</v>
      </c>
      <c r="G145" t="s">
        <v>1748</v>
      </c>
      <c r="H145" t="s">
        <v>2279</v>
      </c>
      <c r="I145">
        <v>69</v>
      </c>
      <c r="J145" t="s">
        <v>2279</v>
      </c>
      <c r="K145" t="s">
        <v>2279</v>
      </c>
      <c r="L145" t="s">
        <v>2279</v>
      </c>
      <c r="M145" t="s">
        <v>2279</v>
      </c>
      <c r="N145" t="s">
        <v>2279</v>
      </c>
      <c r="O145" s="190" t="str">
        <f>"["&amp;$C145&amp;"]["&amp;$D145&amp;"]["&amp;$F145&amp;"]"</f>
        <v>[PermitUpdateTotalNumber][0][PermitUpdateTotalNumber]</v>
      </c>
    </row>
    <row r="146" spans="1:15" x14ac:dyDescent="0.3">
      <c r="A146" t="s">
        <v>2277</v>
      </c>
      <c r="B146" t="s">
        <v>1824</v>
      </c>
      <c r="C146" t="s">
        <v>1825</v>
      </c>
      <c r="D146">
        <v>0</v>
      </c>
      <c r="E146" t="s">
        <v>1447</v>
      </c>
      <c r="F146" t="s">
        <v>1825</v>
      </c>
      <c r="G146" t="s">
        <v>1759</v>
      </c>
      <c r="H146" t="s">
        <v>2279</v>
      </c>
      <c r="I146" t="s">
        <v>2279</v>
      </c>
      <c r="J146" t="s">
        <v>2279</v>
      </c>
      <c r="K146" t="s">
        <v>2279</v>
      </c>
      <c r="L146" t="s">
        <v>1419</v>
      </c>
      <c r="M146" t="s">
        <v>2279</v>
      </c>
      <c r="N146" t="s">
        <v>2279</v>
      </c>
      <c r="O146" s="190" t="str">
        <f>"["&amp;$C146&amp;"]["&amp;$D146&amp;"]["&amp;$F146&amp;"]"</f>
        <v>[AdditionalNationalLegislation][0][AdditionalNationalLegislation]</v>
      </c>
    </row>
    <row r="147" spans="1:15" x14ac:dyDescent="0.3">
      <c r="A147" t="s">
        <v>2277</v>
      </c>
      <c r="B147" t="s">
        <v>1824</v>
      </c>
      <c r="C147" t="s">
        <v>1826</v>
      </c>
      <c r="D147">
        <v>0</v>
      </c>
      <c r="E147" t="s">
        <v>1447</v>
      </c>
      <c r="F147" t="s">
        <v>1826</v>
      </c>
      <c r="G147" t="s">
        <v>1741</v>
      </c>
      <c r="H147" t="s">
        <v>2316</v>
      </c>
      <c r="I147" t="s">
        <v>2279</v>
      </c>
      <c r="J147" t="s">
        <v>2279</v>
      </c>
      <c r="K147" t="s">
        <v>2279</v>
      </c>
      <c r="L147" t="s">
        <v>2279</v>
      </c>
      <c r="M147" t="s">
        <v>2279</v>
      </c>
      <c r="N147" t="s">
        <v>2279</v>
      </c>
      <c r="O147" s="190" t="str">
        <f>"["&amp;$C147&amp;"]["&amp;$D147&amp;"]["&amp;$F147&amp;"]"</f>
        <v>[AdditionalNationalLegislationDetail][0][AdditionalNationalLegislationDetail]</v>
      </c>
    </row>
    <row r="148" spans="1:15" x14ac:dyDescent="0.3">
      <c r="A148" t="s">
        <v>2277</v>
      </c>
      <c r="B148" t="s">
        <v>1824</v>
      </c>
      <c r="C148" t="s">
        <v>1827</v>
      </c>
      <c r="D148">
        <v>0</v>
      </c>
      <c r="E148" t="s">
        <v>1447</v>
      </c>
      <c r="F148" t="s">
        <v>1827</v>
      </c>
      <c r="G148" t="s">
        <v>1759</v>
      </c>
      <c r="H148" t="s">
        <v>2279</v>
      </c>
      <c r="I148" t="s">
        <v>2279</v>
      </c>
      <c r="J148" t="s">
        <v>2279</v>
      </c>
      <c r="K148" t="s">
        <v>2279</v>
      </c>
      <c r="L148" t="s">
        <v>1419</v>
      </c>
      <c r="M148" t="s">
        <v>2279</v>
      </c>
      <c r="N148" t="s">
        <v>2279</v>
      </c>
      <c r="O148" s="190" t="str">
        <f>"["&amp;$C148&amp;"]["&amp;$D148&amp;"]["&amp;$F148&amp;"]"</f>
        <v>[AdditionalNationalGuidance][0][AdditionalNationalGuidance]</v>
      </c>
    </row>
    <row r="149" spans="1:15" x14ac:dyDescent="0.3">
      <c r="A149" t="s">
        <v>2277</v>
      </c>
      <c r="B149" t="s">
        <v>1824</v>
      </c>
      <c r="C149" t="s">
        <v>1828</v>
      </c>
      <c r="D149">
        <v>0</v>
      </c>
      <c r="E149" t="s">
        <v>1447</v>
      </c>
      <c r="F149" t="s">
        <v>1828</v>
      </c>
      <c r="G149" t="s">
        <v>1741</v>
      </c>
      <c r="H149" t="s">
        <v>2317</v>
      </c>
      <c r="I149" t="s">
        <v>2279</v>
      </c>
      <c r="J149" t="s">
        <v>2279</v>
      </c>
      <c r="K149" t="s">
        <v>2279</v>
      </c>
      <c r="L149" t="s">
        <v>2279</v>
      </c>
      <c r="M149" t="s">
        <v>2279</v>
      </c>
      <c r="N149" t="s">
        <v>2279</v>
      </c>
      <c r="O149" s="190" t="str">
        <f>"["&amp;$C149&amp;"]["&amp;$D149&amp;"]["&amp;$F149&amp;"]"</f>
        <v>[AdditionalNationalGuidanceDetail][0][AdditionalNationalGuidanceDetail]</v>
      </c>
    </row>
    <row r="150" spans="1:15" x14ac:dyDescent="0.3">
      <c r="A150" t="s">
        <v>2277</v>
      </c>
      <c r="B150" t="s">
        <v>1829</v>
      </c>
      <c r="C150" t="s">
        <v>1830</v>
      </c>
      <c r="D150">
        <v>1</v>
      </c>
      <c r="E150" t="s">
        <v>1447</v>
      </c>
      <c r="F150" t="s">
        <v>1831</v>
      </c>
      <c r="G150" t="s">
        <v>1759</v>
      </c>
      <c r="H150" t="s">
        <v>2279</v>
      </c>
      <c r="I150" t="s">
        <v>2279</v>
      </c>
      <c r="J150" t="s">
        <v>2279</v>
      </c>
      <c r="K150" t="s">
        <v>2279</v>
      </c>
      <c r="L150" t="s">
        <v>1419</v>
      </c>
      <c r="M150" t="s">
        <v>2279</v>
      </c>
      <c r="N150" t="s">
        <v>2279</v>
      </c>
      <c r="O150" s="190" t="str">
        <f>"["&amp;$C150&amp;"]["&amp;$D150&amp;"]["&amp;$F150&amp;"]"</f>
        <v>[MeasuresStreamline][1][MeasuresStreamlineYesNo]</v>
      </c>
    </row>
    <row r="151" spans="1:15" x14ac:dyDescent="0.3">
      <c r="A151" t="s">
        <v>2277</v>
      </c>
      <c r="B151" t="s">
        <v>1829</v>
      </c>
      <c r="C151" t="s">
        <v>1830</v>
      </c>
      <c r="D151">
        <v>2</v>
      </c>
      <c r="E151" t="s">
        <v>1447</v>
      </c>
      <c r="F151" t="s">
        <v>1831</v>
      </c>
      <c r="G151" t="s">
        <v>1759</v>
      </c>
      <c r="H151" t="s">
        <v>2279</v>
      </c>
      <c r="I151" t="s">
        <v>2279</v>
      </c>
      <c r="J151" t="s">
        <v>2279</v>
      </c>
      <c r="K151" t="s">
        <v>2279</v>
      </c>
      <c r="L151" t="s">
        <v>1419</v>
      </c>
      <c r="M151" t="s">
        <v>2279</v>
      </c>
      <c r="N151" t="s">
        <v>2279</v>
      </c>
      <c r="O151" s="190" t="str">
        <f>"["&amp;$C151&amp;"]["&amp;$D151&amp;"]["&amp;$F151&amp;"]"</f>
        <v>[MeasuresStreamline][2][MeasuresStreamlineYesNo]</v>
      </c>
    </row>
    <row r="152" spans="1:15" x14ac:dyDescent="0.3">
      <c r="A152" t="s">
        <v>2277</v>
      </c>
      <c r="B152" t="s">
        <v>1829</v>
      </c>
      <c r="C152" t="s">
        <v>1830</v>
      </c>
      <c r="D152">
        <v>3</v>
      </c>
      <c r="E152" t="s">
        <v>1447</v>
      </c>
      <c r="F152" t="s">
        <v>1831</v>
      </c>
      <c r="G152" t="s">
        <v>1759</v>
      </c>
      <c r="H152" t="s">
        <v>2279</v>
      </c>
      <c r="I152" t="s">
        <v>2279</v>
      </c>
      <c r="J152" t="s">
        <v>2279</v>
      </c>
      <c r="K152" t="s">
        <v>2279</v>
      </c>
      <c r="L152" t="s">
        <v>1447</v>
      </c>
      <c r="M152" t="s">
        <v>2279</v>
      </c>
      <c r="N152" t="s">
        <v>2279</v>
      </c>
      <c r="O152" s="190" t="str">
        <f>"["&amp;$C152&amp;"]["&amp;$D152&amp;"]["&amp;$F152&amp;"]"</f>
        <v>[MeasuresStreamline][3][MeasuresStreamlineYesNo]</v>
      </c>
    </row>
    <row r="153" spans="1:15" x14ac:dyDescent="0.3">
      <c r="A153" t="s">
        <v>2277</v>
      </c>
      <c r="B153" t="s">
        <v>1829</v>
      </c>
      <c r="C153" t="s">
        <v>1830</v>
      </c>
      <c r="D153">
        <v>4</v>
      </c>
      <c r="E153" t="s">
        <v>1447</v>
      </c>
      <c r="F153" t="s">
        <v>1831</v>
      </c>
      <c r="G153" t="s">
        <v>1759</v>
      </c>
      <c r="H153" t="s">
        <v>2279</v>
      </c>
      <c r="I153" t="s">
        <v>2279</v>
      </c>
      <c r="J153" t="s">
        <v>2279</v>
      </c>
      <c r="K153" t="s">
        <v>2279</v>
      </c>
      <c r="L153" t="s">
        <v>1419</v>
      </c>
      <c r="M153" t="s">
        <v>2279</v>
      </c>
      <c r="N153" t="s">
        <v>2279</v>
      </c>
      <c r="O153" s="190" t="str">
        <f>"["&amp;$C153&amp;"]["&amp;$D153&amp;"]["&amp;$F153&amp;"]"</f>
        <v>[MeasuresStreamline][4][MeasuresStreamlineYesNo]</v>
      </c>
    </row>
    <row r="154" spans="1:15" x14ac:dyDescent="0.3">
      <c r="A154" t="s">
        <v>2277</v>
      </c>
      <c r="B154" t="s">
        <v>1829</v>
      </c>
      <c r="C154" t="s">
        <v>1830</v>
      </c>
      <c r="D154">
        <v>5</v>
      </c>
      <c r="E154" t="s">
        <v>1447</v>
      </c>
      <c r="F154" t="s">
        <v>1831</v>
      </c>
      <c r="G154" t="s">
        <v>1759</v>
      </c>
      <c r="H154" t="s">
        <v>2279</v>
      </c>
      <c r="I154" t="s">
        <v>2279</v>
      </c>
      <c r="J154" t="s">
        <v>2279</v>
      </c>
      <c r="K154" t="s">
        <v>2279</v>
      </c>
      <c r="L154" t="s">
        <v>1447</v>
      </c>
      <c r="M154" t="s">
        <v>2279</v>
      </c>
      <c r="N154" t="s">
        <v>2279</v>
      </c>
      <c r="O154" s="190" t="str">
        <f>"["&amp;$C154&amp;"]["&amp;$D154&amp;"]["&amp;$F154&amp;"]"</f>
        <v>[MeasuresStreamline][5][MeasuresStreamlineYesNo]</v>
      </c>
    </row>
    <row r="155" spans="1:15" x14ac:dyDescent="0.3">
      <c r="A155" t="s">
        <v>2277</v>
      </c>
      <c r="B155" t="s">
        <v>1829</v>
      </c>
      <c r="C155" t="s">
        <v>1830</v>
      </c>
      <c r="D155">
        <v>6</v>
      </c>
      <c r="E155" t="s">
        <v>1447</v>
      </c>
      <c r="F155" t="s">
        <v>1831</v>
      </c>
      <c r="G155" t="s">
        <v>1759</v>
      </c>
      <c r="H155" t="s">
        <v>2279</v>
      </c>
      <c r="I155" t="s">
        <v>2279</v>
      </c>
      <c r="J155" t="s">
        <v>2279</v>
      </c>
      <c r="K155" t="s">
        <v>2279</v>
      </c>
      <c r="L155" t="s">
        <v>1447</v>
      </c>
      <c r="M155" t="s">
        <v>2279</v>
      </c>
      <c r="N155" t="s">
        <v>2279</v>
      </c>
      <c r="O155" s="190" t="str">
        <f>"["&amp;$C155&amp;"]["&amp;$D155&amp;"]["&amp;$F155&amp;"]"</f>
        <v>[MeasuresStreamline][6][MeasuresStreamlineYesNo]</v>
      </c>
    </row>
    <row r="156" spans="1:15" x14ac:dyDescent="0.3">
      <c r="A156" t="s">
        <v>2277</v>
      </c>
      <c r="B156" t="s">
        <v>1829</v>
      </c>
      <c r="C156" t="s">
        <v>1830</v>
      </c>
      <c r="D156">
        <v>7</v>
      </c>
      <c r="E156" t="s">
        <v>1447</v>
      </c>
      <c r="F156" t="s">
        <v>1831</v>
      </c>
      <c r="G156" t="s">
        <v>1759</v>
      </c>
      <c r="H156" t="s">
        <v>2279</v>
      </c>
      <c r="I156" t="s">
        <v>2279</v>
      </c>
      <c r="J156" t="s">
        <v>2279</v>
      </c>
      <c r="K156" t="s">
        <v>2279</v>
      </c>
      <c r="L156" t="s">
        <v>1447</v>
      </c>
      <c r="M156" t="s">
        <v>2279</v>
      </c>
      <c r="N156" t="s">
        <v>2279</v>
      </c>
      <c r="O156" s="190" t="str">
        <f>"["&amp;$C156&amp;"]["&amp;$D156&amp;"]["&amp;$F156&amp;"]"</f>
        <v>[MeasuresStreamline][7][MeasuresStreamlineYesNo]</v>
      </c>
    </row>
    <row r="157" spans="1:15" x14ac:dyDescent="0.3">
      <c r="A157" t="s">
        <v>2277</v>
      </c>
      <c r="B157" t="s">
        <v>1829</v>
      </c>
      <c r="C157" t="s">
        <v>1830</v>
      </c>
      <c r="D157">
        <v>1</v>
      </c>
      <c r="E157" t="s">
        <v>1447</v>
      </c>
      <c r="F157" t="s">
        <v>1832</v>
      </c>
      <c r="G157" t="s">
        <v>1791</v>
      </c>
      <c r="H157" t="s">
        <v>2279</v>
      </c>
      <c r="I157" t="s">
        <v>2279</v>
      </c>
      <c r="J157" t="s">
        <v>2279</v>
      </c>
      <c r="K157" t="s">
        <v>2318</v>
      </c>
      <c r="L157" t="s">
        <v>2279</v>
      </c>
      <c r="M157" t="s">
        <v>2279</v>
      </c>
      <c r="N157" t="s">
        <v>2279</v>
      </c>
      <c r="O157" s="190" t="str">
        <f>"["&amp;$C157&amp;"]["&amp;$D157&amp;"]["&amp;$F157&amp;"]"</f>
        <v>[MeasuresStreamline][1][MeasuresStreamlineComments]</v>
      </c>
    </row>
    <row r="158" spans="1:15" x14ac:dyDescent="0.3">
      <c r="A158" t="s">
        <v>2277</v>
      </c>
      <c r="B158" t="s">
        <v>1833</v>
      </c>
      <c r="C158" t="s">
        <v>1834</v>
      </c>
      <c r="D158">
        <v>0</v>
      </c>
      <c r="E158" t="s">
        <v>1447</v>
      </c>
      <c r="F158" t="s">
        <v>1834</v>
      </c>
      <c r="G158" t="s">
        <v>1759</v>
      </c>
      <c r="H158" t="s">
        <v>2279</v>
      </c>
      <c r="I158" t="s">
        <v>2279</v>
      </c>
      <c r="J158" t="s">
        <v>2279</v>
      </c>
      <c r="K158" t="s">
        <v>2279</v>
      </c>
      <c r="L158" t="s">
        <v>1419</v>
      </c>
      <c r="M158" t="s">
        <v>2279</v>
      </c>
      <c r="N158" t="s">
        <v>2279</v>
      </c>
      <c r="O158" s="190" t="str">
        <f>"["&amp;$C158&amp;"]["&amp;$D158&amp;"]["&amp;$F158&amp;"]"</f>
        <v>[CommissionTemplatesMRR][0][CommissionTemplatesMRR]</v>
      </c>
    </row>
    <row r="159" spans="1:15" x14ac:dyDescent="0.3">
      <c r="A159" t="s">
        <v>2277</v>
      </c>
      <c r="B159" t="s">
        <v>1840</v>
      </c>
      <c r="C159" t="s">
        <v>1841</v>
      </c>
      <c r="D159">
        <v>0</v>
      </c>
      <c r="E159" t="s">
        <v>1447</v>
      </c>
      <c r="F159" t="s">
        <v>1841</v>
      </c>
      <c r="G159" t="s">
        <v>1759</v>
      </c>
      <c r="H159" t="s">
        <v>2279</v>
      </c>
      <c r="I159" t="s">
        <v>2279</v>
      </c>
      <c r="J159" t="s">
        <v>2279</v>
      </c>
      <c r="K159" t="s">
        <v>2279</v>
      </c>
      <c r="L159" t="s">
        <v>1447</v>
      </c>
      <c r="M159" t="s">
        <v>2279</v>
      </c>
      <c r="N159" t="s">
        <v>2279</v>
      </c>
      <c r="O159" s="190" t="str">
        <f>"["&amp;$C159&amp;"]["&amp;$D159&amp;"]["&amp;$F159&amp;"]"</f>
        <v>[AutomatedSystemInformationExchange][0][AutomatedSystemInformationExchange]</v>
      </c>
    </row>
    <row r="160" spans="1:15" x14ac:dyDescent="0.3">
      <c r="A160" t="s">
        <v>2277</v>
      </c>
      <c r="B160" t="s">
        <v>1843</v>
      </c>
      <c r="C160" t="s">
        <v>1844</v>
      </c>
      <c r="D160">
        <v>1</v>
      </c>
      <c r="E160" t="s">
        <v>1447</v>
      </c>
      <c r="F160" t="s">
        <v>1845</v>
      </c>
      <c r="G160" t="s">
        <v>1806</v>
      </c>
      <c r="H160" t="s">
        <v>2279</v>
      </c>
      <c r="I160" t="s">
        <v>2279</v>
      </c>
      <c r="J160">
        <v>43910.178487764701</v>
      </c>
      <c r="K160" t="s">
        <v>2279</v>
      </c>
      <c r="L160" t="s">
        <v>2279</v>
      </c>
      <c r="M160" t="s">
        <v>2279</v>
      </c>
      <c r="N160" t="s">
        <v>2279</v>
      </c>
      <c r="O160" s="190" t="str">
        <f>"["&amp;$C160&amp;"]["&amp;$D160&amp;"]["&amp;$F160&amp;"]"</f>
        <v>[S05_InstallationFuelConsEmissions][1][FuelConsumption]</v>
      </c>
    </row>
    <row r="161" spans="1:15" x14ac:dyDescent="0.3">
      <c r="A161" t="s">
        <v>2277</v>
      </c>
      <c r="B161" t="s">
        <v>1843</v>
      </c>
      <c r="C161" t="s">
        <v>1844</v>
      </c>
      <c r="D161">
        <v>2</v>
      </c>
      <c r="E161" t="s">
        <v>1447</v>
      </c>
      <c r="F161" t="s">
        <v>1845</v>
      </c>
      <c r="G161" t="s">
        <v>1806</v>
      </c>
      <c r="H161" t="s">
        <v>2279</v>
      </c>
      <c r="I161" t="s">
        <v>2279</v>
      </c>
      <c r="J161">
        <v>348699.95901345502</v>
      </c>
      <c r="K161" t="s">
        <v>2279</v>
      </c>
      <c r="L161" t="s">
        <v>2279</v>
      </c>
      <c r="M161" t="s">
        <v>2279</v>
      </c>
      <c r="N161" t="s">
        <v>2279</v>
      </c>
      <c r="O161" s="190" t="str">
        <f>"["&amp;$C161&amp;"]["&amp;$D161&amp;"]["&amp;$F161&amp;"]"</f>
        <v>[S05_InstallationFuelConsEmissions][2][FuelConsumption]</v>
      </c>
    </row>
    <row r="162" spans="1:15" x14ac:dyDescent="0.3">
      <c r="A162" t="s">
        <v>2277</v>
      </c>
      <c r="B162" t="s">
        <v>1843</v>
      </c>
      <c r="C162" t="s">
        <v>1844</v>
      </c>
      <c r="D162">
        <v>4</v>
      </c>
      <c r="E162" t="s">
        <v>1447</v>
      </c>
      <c r="F162" t="s">
        <v>1845</v>
      </c>
      <c r="G162" t="s">
        <v>1806</v>
      </c>
      <c r="H162" t="s">
        <v>2279</v>
      </c>
      <c r="I162" t="s">
        <v>2279</v>
      </c>
      <c r="J162">
        <v>10139.0873490629</v>
      </c>
      <c r="K162" t="s">
        <v>2279</v>
      </c>
      <c r="L162" t="s">
        <v>2279</v>
      </c>
      <c r="M162" t="s">
        <v>2279</v>
      </c>
      <c r="N162" t="s">
        <v>2279</v>
      </c>
      <c r="O162" s="190" t="str">
        <f>"["&amp;$C162&amp;"]["&amp;$D162&amp;"]["&amp;$F162&amp;"]"</f>
        <v>[S05_InstallationFuelConsEmissions][4][FuelConsumption]</v>
      </c>
    </row>
    <row r="163" spans="1:15" x14ac:dyDescent="0.3">
      <c r="A163" t="s">
        <v>2277</v>
      </c>
      <c r="B163" t="s">
        <v>1843</v>
      </c>
      <c r="C163" t="s">
        <v>1844</v>
      </c>
      <c r="D163">
        <v>5</v>
      </c>
      <c r="E163" t="s">
        <v>1447</v>
      </c>
      <c r="F163" t="s">
        <v>1845</v>
      </c>
      <c r="G163" t="s">
        <v>1806</v>
      </c>
      <c r="H163" t="s">
        <v>2279</v>
      </c>
      <c r="I163" t="s">
        <v>2279</v>
      </c>
      <c r="J163">
        <v>99405.621260935906</v>
      </c>
      <c r="K163" t="s">
        <v>2279</v>
      </c>
      <c r="L163" t="s">
        <v>2279</v>
      </c>
      <c r="M163" t="s">
        <v>2279</v>
      </c>
      <c r="N163" t="s">
        <v>2279</v>
      </c>
      <c r="O163" s="190" t="str">
        <f>"["&amp;$C163&amp;"]["&amp;$D163&amp;"]["&amp;$F163&amp;"]"</f>
        <v>[S05_InstallationFuelConsEmissions][5][FuelConsumption]</v>
      </c>
    </row>
    <row r="164" spans="1:15" x14ac:dyDescent="0.3">
      <c r="A164" t="s">
        <v>2277</v>
      </c>
      <c r="B164" t="s">
        <v>1843</v>
      </c>
      <c r="C164" t="s">
        <v>1844</v>
      </c>
      <c r="D164">
        <v>6</v>
      </c>
      <c r="E164" t="s">
        <v>1447</v>
      </c>
      <c r="F164" t="s">
        <v>1845</v>
      </c>
      <c r="G164" t="s">
        <v>1806</v>
      </c>
      <c r="H164" t="s">
        <v>2279</v>
      </c>
      <c r="I164" t="s">
        <v>2279</v>
      </c>
      <c r="J164">
        <v>18545.149991630398</v>
      </c>
      <c r="K164" t="s">
        <v>2279</v>
      </c>
      <c r="L164" t="s">
        <v>2279</v>
      </c>
      <c r="M164" t="s">
        <v>2279</v>
      </c>
      <c r="N164" t="s">
        <v>2279</v>
      </c>
      <c r="O164" s="190" t="str">
        <f>"["&amp;$C164&amp;"]["&amp;$D164&amp;"]["&amp;$F164&amp;"]"</f>
        <v>[S05_InstallationFuelConsEmissions][6][FuelConsumption]</v>
      </c>
    </row>
    <row r="165" spans="1:15" x14ac:dyDescent="0.3">
      <c r="A165" t="s">
        <v>2277</v>
      </c>
      <c r="B165" t="s">
        <v>1843</v>
      </c>
      <c r="C165" t="s">
        <v>1844</v>
      </c>
      <c r="D165">
        <v>7</v>
      </c>
      <c r="E165" t="s">
        <v>1447</v>
      </c>
      <c r="F165" t="s">
        <v>1845</v>
      </c>
      <c r="G165" t="s">
        <v>1806</v>
      </c>
      <c r="H165" t="s">
        <v>2279</v>
      </c>
      <c r="I165" t="s">
        <v>2279</v>
      </c>
      <c r="J165">
        <v>21332.521836301799</v>
      </c>
      <c r="K165" t="s">
        <v>2279</v>
      </c>
      <c r="L165" t="s">
        <v>2279</v>
      </c>
      <c r="M165" t="s">
        <v>2279</v>
      </c>
      <c r="N165" t="s">
        <v>2279</v>
      </c>
      <c r="O165" s="190" t="str">
        <f>"["&amp;$C165&amp;"]["&amp;$D165&amp;"]["&amp;$F165&amp;"]"</f>
        <v>[S05_InstallationFuelConsEmissions][7][FuelConsumption]</v>
      </c>
    </row>
    <row r="166" spans="1:15" x14ac:dyDescent="0.3">
      <c r="A166" t="s">
        <v>2277</v>
      </c>
      <c r="B166" t="s">
        <v>1843</v>
      </c>
      <c r="C166" t="s">
        <v>1844</v>
      </c>
      <c r="D166">
        <v>8</v>
      </c>
      <c r="E166" t="s">
        <v>1447</v>
      </c>
      <c r="F166" t="s">
        <v>1845</v>
      </c>
      <c r="G166" t="s">
        <v>1806</v>
      </c>
      <c r="H166" t="s">
        <v>2279</v>
      </c>
      <c r="I166" t="s">
        <v>2279</v>
      </c>
      <c r="J166">
        <v>25232.549253742702</v>
      </c>
      <c r="K166" t="s">
        <v>2279</v>
      </c>
      <c r="L166" t="s">
        <v>2279</v>
      </c>
      <c r="M166" t="s">
        <v>2279</v>
      </c>
      <c r="N166" t="s">
        <v>2279</v>
      </c>
      <c r="O166" s="190" t="str">
        <f>"["&amp;$C166&amp;"]["&amp;$D166&amp;"]["&amp;$F166&amp;"]"</f>
        <v>[S05_InstallationFuelConsEmissions][8][FuelConsumption]</v>
      </c>
    </row>
    <row r="167" spans="1:15" x14ac:dyDescent="0.3">
      <c r="A167" t="s">
        <v>2277</v>
      </c>
      <c r="B167" t="s">
        <v>1843</v>
      </c>
      <c r="C167" t="s">
        <v>1844</v>
      </c>
      <c r="D167">
        <v>9</v>
      </c>
      <c r="E167" t="s">
        <v>1447</v>
      </c>
      <c r="F167" t="s">
        <v>1845</v>
      </c>
      <c r="G167" t="s">
        <v>1806</v>
      </c>
      <c r="H167" t="s">
        <v>2279</v>
      </c>
      <c r="I167" t="s">
        <v>2279</v>
      </c>
      <c r="J167">
        <v>3251.0576923788999</v>
      </c>
      <c r="K167" t="s">
        <v>2279</v>
      </c>
      <c r="L167" t="s">
        <v>2279</v>
      </c>
      <c r="M167" t="s">
        <v>2279</v>
      </c>
      <c r="N167" t="s">
        <v>2279</v>
      </c>
      <c r="O167" s="190" t="str">
        <f>"["&amp;$C167&amp;"]["&amp;$D167&amp;"]["&amp;$F167&amp;"]"</f>
        <v>[S05_InstallationFuelConsEmissions][9][FuelConsumption]</v>
      </c>
    </row>
    <row r="168" spans="1:15" x14ac:dyDescent="0.3">
      <c r="A168" t="s">
        <v>2277</v>
      </c>
      <c r="B168" t="s">
        <v>1843</v>
      </c>
      <c r="C168" t="s">
        <v>1844</v>
      </c>
      <c r="D168">
        <v>10</v>
      </c>
      <c r="E168" t="s">
        <v>1447</v>
      </c>
      <c r="F168" t="s">
        <v>1845</v>
      </c>
      <c r="G168" t="s">
        <v>1806</v>
      </c>
      <c r="H168" t="s">
        <v>2279</v>
      </c>
      <c r="I168" t="s">
        <v>2279</v>
      </c>
      <c r="J168">
        <v>102.2509376</v>
      </c>
      <c r="K168" t="s">
        <v>2279</v>
      </c>
      <c r="L168" t="s">
        <v>2279</v>
      </c>
      <c r="M168" t="s">
        <v>2279</v>
      </c>
      <c r="N168" t="s">
        <v>2279</v>
      </c>
      <c r="O168" s="190" t="str">
        <f>"["&amp;$C168&amp;"]["&amp;$D168&amp;"]["&amp;$F168&amp;"]"</f>
        <v>[S05_InstallationFuelConsEmissions][10][FuelConsumption]</v>
      </c>
    </row>
    <row r="169" spans="1:15" x14ac:dyDescent="0.3">
      <c r="A169" t="s">
        <v>2277</v>
      </c>
      <c r="B169" t="s">
        <v>1846</v>
      </c>
      <c r="C169" t="s">
        <v>1844</v>
      </c>
      <c r="D169">
        <v>11</v>
      </c>
      <c r="E169" t="s">
        <v>1447</v>
      </c>
      <c r="F169" t="s">
        <v>1845</v>
      </c>
      <c r="G169" t="s">
        <v>1806</v>
      </c>
      <c r="H169" t="s">
        <v>2279</v>
      </c>
      <c r="I169" t="s">
        <v>2279</v>
      </c>
      <c r="J169">
        <v>3543.9841245586099</v>
      </c>
      <c r="K169" t="s">
        <v>2279</v>
      </c>
      <c r="L169" t="s">
        <v>2279</v>
      </c>
      <c r="M169" t="s">
        <v>2279</v>
      </c>
      <c r="N169" t="s">
        <v>2279</v>
      </c>
      <c r="O169" s="190" t="str">
        <f>"["&amp;$C169&amp;"]["&amp;$D169&amp;"]["&amp;$F169&amp;"]"</f>
        <v>[S05_InstallationFuelConsEmissions][11][FuelConsumption]</v>
      </c>
    </row>
    <row r="170" spans="1:15" x14ac:dyDescent="0.3">
      <c r="A170" t="s">
        <v>2277</v>
      </c>
      <c r="B170" t="s">
        <v>1847</v>
      </c>
      <c r="C170" t="s">
        <v>1844</v>
      </c>
      <c r="D170">
        <v>12</v>
      </c>
      <c r="E170" t="s">
        <v>1447</v>
      </c>
      <c r="F170" t="s">
        <v>1845</v>
      </c>
      <c r="G170" t="s">
        <v>1806</v>
      </c>
      <c r="H170" t="s">
        <v>2279</v>
      </c>
      <c r="I170" t="s">
        <v>2279</v>
      </c>
      <c r="J170">
        <v>10266.990308594901</v>
      </c>
      <c r="K170" t="s">
        <v>2279</v>
      </c>
      <c r="L170" t="s">
        <v>2279</v>
      </c>
      <c r="M170" t="s">
        <v>2279</v>
      </c>
      <c r="N170" t="s">
        <v>2279</v>
      </c>
      <c r="O170" s="190" t="str">
        <f>"["&amp;$C170&amp;"]["&amp;$D170&amp;"]["&amp;$F170&amp;"]"</f>
        <v>[S05_InstallationFuelConsEmissions][12][FuelConsumption]</v>
      </c>
    </row>
    <row r="171" spans="1:15" x14ac:dyDescent="0.3">
      <c r="A171" t="s">
        <v>2277</v>
      </c>
      <c r="B171" t="s">
        <v>1843</v>
      </c>
      <c r="C171" t="s">
        <v>1844</v>
      </c>
      <c r="D171">
        <v>1</v>
      </c>
      <c r="E171" t="s">
        <v>1447</v>
      </c>
      <c r="F171" t="s">
        <v>1848</v>
      </c>
      <c r="G171" t="s">
        <v>1806</v>
      </c>
      <c r="H171" t="s">
        <v>2279</v>
      </c>
      <c r="I171" t="s">
        <v>2279</v>
      </c>
      <c r="J171">
        <v>4007620.2667086599</v>
      </c>
      <c r="K171" t="s">
        <v>2279</v>
      </c>
      <c r="L171" t="s">
        <v>2279</v>
      </c>
      <c r="M171" t="s">
        <v>2279</v>
      </c>
      <c r="N171" t="s">
        <v>2279</v>
      </c>
      <c r="O171" s="190" t="str">
        <f>"["&amp;$C171&amp;"]["&amp;$D171&amp;"]["&amp;$F171&amp;"]"</f>
        <v>[S05_InstallationFuelConsEmissions][1][FuelAnnualEmissions]</v>
      </c>
    </row>
    <row r="172" spans="1:15" x14ac:dyDescent="0.3">
      <c r="A172" t="s">
        <v>2277</v>
      </c>
      <c r="B172" t="s">
        <v>1843</v>
      </c>
      <c r="C172" t="s">
        <v>1844</v>
      </c>
      <c r="D172">
        <v>2</v>
      </c>
      <c r="E172" t="s">
        <v>1447</v>
      </c>
      <c r="F172" t="s">
        <v>1848</v>
      </c>
      <c r="G172" t="s">
        <v>1806</v>
      </c>
      <c r="H172" t="s">
        <v>2279</v>
      </c>
      <c r="I172" t="s">
        <v>2279</v>
      </c>
      <c r="J172">
        <v>32594657.942588199</v>
      </c>
      <c r="K172" t="s">
        <v>2279</v>
      </c>
      <c r="L172" t="s">
        <v>2279</v>
      </c>
      <c r="M172" t="s">
        <v>2279</v>
      </c>
      <c r="N172" t="s">
        <v>2279</v>
      </c>
      <c r="O172" s="190" t="str">
        <f>"["&amp;$C172&amp;"]["&amp;$D172&amp;"]["&amp;$F172&amp;"]"</f>
        <v>[S05_InstallationFuelConsEmissions][2][FuelAnnualEmissions]</v>
      </c>
    </row>
    <row r="173" spans="1:15" x14ac:dyDescent="0.3">
      <c r="A173" t="s">
        <v>2277</v>
      </c>
      <c r="B173" t="s">
        <v>1843</v>
      </c>
      <c r="C173" t="s">
        <v>1844</v>
      </c>
      <c r="D173">
        <v>4</v>
      </c>
      <c r="E173" t="s">
        <v>1447</v>
      </c>
      <c r="F173" t="s">
        <v>1848</v>
      </c>
      <c r="G173" t="s">
        <v>1806</v>
      </c>
      <c r="H173" t="s">
        <v>2279</v>
      </c>
      <c r="I173" t="s">
        <v>2279</v>
      </c>
      <c r="J173">
        <v>1059341.94802056</v>
      </c>
      <c r="K173" t="s">
        <v>2279</v>
      </c>
      <c r="L173" t="s">
        <v>2279</v>
      </c>
      <c r="M173" t="s">
        <v>2279</v>
      </c>
      <c r="N173" t="s">
        <v>2279</v>
      </c>
      <c r="O173" s="190" t="str">
        <f>"["&amp;$C173&amp;"]["&amp;$D173&amp;"]["&amp;$F173&amp;"]"</f>
        <v>[S05_InstallationFuelConsEmissions][4][FuelAnnualEmissions]</v>
      </c>
    </row>
    <row r="174" spans="1:15" x14ac:dyDescent="0.3">
      <c r="A174" t="s">
        <v>2277</v>
      </c>
      <c r="B174" t="s">
        <v>1843</v>
      </c>
      <c r="C174" t="s">
        <v>1844</v>
      </c>
      <c r="D174">
        <v>5</v>
      </c>
      <c r="E174" t="s">
        <v>1447</v>
      </c>
      <c r="F174" t="s">
        <v>1848</v>
      </c>
      <c r="G174" t="s">
        <v>1806</v>
      </c>
      <c r="H174" t="s">
        <v>2279</v>
      </c>
      <c r="I174" t="s">
        <v>2279</v>
      </c>
      <c r="J174">
        <v>5506336.3106882302</v>
      </c>
      <c r="K174" t="s">
        <v>2279</v>
      </c>
      <c r="L174" t="s">
        <v>2279</v>
      </c>
      <c r="M174" t="s">
        <v>2279</v>
      </c>
      <c r="N174" t="s">
        <v>2279</v>
      </c>
      <c r="O174" s="190" t="str">
        <f>"["&amp;$C174&amp;"]["&amp;$D174&amp;"]["&amp;$F174&amp;"]"</f>
        <v>[S05_InstallationFuelConsEmissions][5][FuelAnnualEmissions]</v>
      </c>
    </row>
    <row r="175" spans="1:15" x14ac:dyDescent="0.3">
      <c r="A175" t="s">
        <v>2277</v>
      </c>
      <c r="B175" t="s">
        <v>1843</v>
      </c>
      <c r="C175" t="s">
        <v>1844</v>
      </c>
      <c r="D175">
        <v>6</v>
      </c>
      <c r="E175" t="s">
        <v>1447</v>
      </c>
      <c r="F175" t="s">
        <v>1848</v>
      </c>
      <c r="G175" t="s">
        <v>1806</v>
      </c>
      <c r="H175" t="s">
        <v>2279</v>
      </c>
      <c r="I175" t="s">
        <v>2279</v>
      </c>
      <c r="J175">
        <v>817303.83330468496</v>
      </c>
      <c r="K175" t="s">
        <v>2279</v>
      </c>
      <c r="L175" t="s">
        <v>2279</v>
      </c>
      <c r="M175" t="s">
        <v>2279</v>
      </c>
      <c r="N175" t="s">
        <v>2279</v>
      </c>
      <c r="O175" s="190" t="str">
        <f>"["&amp;$C175&amp;"]["&amp;$D175&amp;"]["&amp;$F175&amp;"]"</f>
        <v>[S05_InstallationFuelConsEmissions][6][FuelAnnualEmissions]</v>
      </c>
    </row>
    <row r="176" spans="1:15" x14ac:dyDescent="0.3">
      <c r="A176" t="s">
        <v>2277</v>
      </c>
      <c r="B176" t="s">
        <v>1843</v>
      </c>
      <c r="C176" t="s">
        <v>1844</v>
      </c>
      <c r="D176">
        <v>7</v>
      </c>
      <c r="E176" t="s">
        <v>1447</v>
      </c>
      <c r="F176" t="s">
        <v>1848</v>
      </c>
      <c r="G176" t="s">
        <v>1806</v>
      </c>
      <c r="H176" t="s">
        <v>2279</v>
      </c>
      <c r="I176" t="s">
        <v>2279</v>
      </c>
      <c r="J176">
        <v>5583824.6564510604</v>
      </c>
      <c r="K176" t="s">
        <v>2279</v>
      </c>
      <c r="L176" t="s">
        <v>2279</v>
      </c>
      <c r="M176" t="s">
        <v>2279</v>
      </c>
      <c r="N176" t="s">
        <v>2279</v>
      </c>
      <c r="O176" s="190" t="str">
        <f>"["&amp;$C176&amp;"]["&amp;$D176&amp;"]["&amp;$F176&amp;"]"</f>
        <v>[S05_InstallationFuelConsEmissions][7][FuelAnnualEmissions]</v>
      </c>
    </row>
    <row r="177" spans="1:15" x14ac:dyDescent="0.3">
      <c r="A177" t="s">
        <v>2277</v>
      </c>
      <c r="B177" t="s">
        <v>1843</v>
      </c>
      <c r="C177" t="s">
        <v>1844</v>
      </c>
      <c r="D177">
        <v>8</v>
      </c>
      <c r="E177" t="s">
        <v>1447</v>
      </c>
      <c r="F177" t="s">
        <v>1848</v>
      </c>
      <c r="G177" t="s">
        <v>1806</v>
      </c>
      <c r="H177" t="s">
        <v>2279</v>
      </c>
      <c r="I177" t="s">
        <v>2279</v>
      </c>
      <c r="J177">
        <v>1591234.2354915901</v>
      </c>
      <c r="K177" t="s">
        <v>2279</v>
      </c>
      <c r="L177" t="s">
        <v>2279</v>
      </c>
      <c r="M177" t="s">
        <v>2279</v>
      </c>
      <c r="N177" t="s">
        <v>2279</v>
      </c>
      <c r="O177" s="190" t="str">
        <f>"["&amp;$C177&amp;"]["&amp;$D177&amp;"]["&amp;$F177&amp;"]"</f>
        <v>[S05_InstallationFuelConsEmissions][8][FuelAnnualEmissions]</v>
      </c>
    </row>
    <row r="178" spans="1:15" x14ac:dyDescent="0.3">
      <c r="A178" t="s">
        <v>2277</v>
      </c>
      <c r="B178" t="s">
        <v>1843</v>
      </c>
      <c r="C178" t="s">
        <v>1844</v>
      </c>
      <c r="D178">
        <v>9</v>
      </c>
      <c r="E178" t="s">
        <v>1447</v>
      </c>
      <c r="F178" t="s">
        <v>1848</v>
      </c>
      <c r="G178" t="s">
        <v>1806</v>
      </c>
      <c r="H178" t="s">
        <v>2279</v>
      </c>
      <c r="I178" t="s">
        <v>2279</v>
      </c>
      <c r="J178">
        <v>267371.48667647399</v>
      </c>
      <c r="K178" t="s">
        <v>2279</v>
      </c>
      <c r="L178" t="s">
        <v>2279</v>
      </c>
      <c r="M178" t="s">
        <v>2279</v>
      </c>
      <c r="N178" t="s">
        <v>2279</v>
      </c>
      <c r="O178" s="190" t="str">
        <f>"["&amp;$C178&amp;"]["&amp;$D178&amp;"]["&amp;$F178&amp;"]"</f>
        <v>[S05_InstallationFuelConsEmissions][9][FuelAnnualEmissions]</v>
      </c>
    </row>
    <row r="179" spans="1:15" x14ac:dyDescent="0.3">
      <c r="A179" t="s">
        <v>2277</v>
      </c>
      <c r="B179" t="s">
        <v>1843</v>
      </c>
      <c r="C179" t="s">
        <v>1844</v>
      </c>
      <c r="D179">
        <v>10</v>
      </c>
      <c r="E179" t="s">
        <v>1447</v>
      </c>
      <c r="F179" t="s">
        <v>1848</v>
      </c>
      <c r="G179" t="s">
        <v>1806</v>
      </c>
      <c r="H179" t="s">
        <v>2279</v>
      </c>
      <c r="I179" t="s">
        <v>2279</v>
      </c>
      <c r="J179">
        <v>6467.8701418969404</v>
      </c>
      <c r="K179" t="s">
        <v>2279</v>
      </c>
      <c r="L179" t="s">
        <v>2279</v>
      </c>
      <c r="M179" t="s">
        <v>2279</v>
      </c>
      <c r="N179" t="s">
        <v>2279</v>
      </c>
      <c r="O179" s="190" t="str">
        <f>"["&amp;$C179&amp;"]["&amp;$D179&amp;"]["&amp;$F179&amp;"]"</f>
        <v>[S05_InstallationFuelConsEmissions][10][FuelAnnualEmissions]</v>
      </c>
    </row>
    <row r="180" spans="1:15" x14ac:dyDescent="0.3">
      <c r="A180" t="s">
        <v>2277</v>
      </c>
      <c r="B180" t="s">
        <v>1843</v>
      </c>
      <c r="C180" t="s">
        <v>1844</v>
      </c>
      <c r="D180">
        <v>11</v>
      </c>
      <c r="E180" t="s">
        <v>1447</v>
      </c>
      <c r="F180" t="s">
        <v>1848</v>
      </c>
      <c r="G180" t="s">
        <v>1806</v>
      </c>
      <c r="H180" t="s">
        <v>2279</v>
      </c>
      <c r="I180" t="s">
        <v>2279</v>
      </c>
      <c r="J180">
        <v>308321.85378745099</v>
      </c>
      <c r="K180" t="s">
        <v>2279</v>
      </c>
      <c r="L180" t="s">
        <v>2279</v>
      </c>
      <c r="M180" t="s">
        <v>2279</v>
      </c>
      <c r="N180" t="s">
        <v>2279</v>
      </c>
      <c r="O180" s="190" t="str">
        <f>"["&amp;$C180&amp;"]["&amp;$D180&amp;"]["&amp;$F180&amp;"]"</f>
        <v>[S05_InstallationFuelConsEmissions][11][FuelAnnualEmissions]</v>
      </c>
    </row>
    <row r="181" spans="1:15" x14ac:dyDescent="0.3">
      <c r="A181" t="s">
        <v>2277</v>
      </c>
      <c r="B181" t="s">
        <v>1843</v>
      </c>
      <c r="C181" t="s">
        <v>1844</v>
      </c>
      <c r="D181">
        <v>12</v>
      </c>
      <c r="E181" t="s">
        <v>1447</v>
      </c>
      <c r="F181" t="s">
        <v>1848</v>
      </c>
      <c r="G181" t="s">
        <v>1806</v>
      </c>
      <c r="H181" t="s">
        <v>2279</v>
      </c>
      <c r="I181" t="s">
        <v>2279</v>
      </c>
      <c r="J181">
        <v>889040.17744674103</v>
      </c>
      <c r="K181" t="s">
        <v>2279</v>
      </c>
      <c r="L181" t="s">
        <v>2279</v>
      </c>
      <c r="M181" t="s">
        <v>2279</v>
      </c>
      <c r="N181" t="s">
        <v>2279</v>
      </c>
      <c r="O181" s="190" t="str">
        <f>"["&amp;$C181&amp;"]["&amp;$D181&amp;"]["&amp;$F181&amp;"]"</f>
        <v>[S05_InstallationFuelConsEmissions][12][FuelAnnualEmissions]</v>
      </c>
    </row>
    <row r="182" spans="1:15" x14ac:dyDescent="0.3">
      <c r="A182" t="s">
        <v>2277</v>
      </c>
      <c r="B182" t="s">
        <v>1846</v>
      </c>
      <c r="C182" t="s">
        <v>1849</v>
      </c>
      <c r="D182">
        <v>1</v>
      </c>
      <c r="E182" t="s">
        <v>1447</v>
      </c>
      <c r="F182" t="s">
        <v>1850</v>
      </c>
      <c r="G182" t="s">
        <v>1737</v>
      </c>
      <c r="H182" t="s">
        <v>2279</v>
      </c>
      <c r="I182" t="s">
        <v>2279</v>
      </c>
      <c r="J182" t="s">
        <v>2279</v>
      </c>
      <c r="K182" t="s">
        <v>2279</v>
      </c>
      <c r="L182" t="s">
        <v>1425</v>
      </c>
      <c r="M182" t="s">
        <v>2279</v>
      </c>
      <c r="N182" t="s">
        <v>2279</v>
      </c>
      <c r="O182" s="190" t="str">
        <f>"["&amp;$C182&amp;"]["&amp;$D182&amp;"]["&amp;$F182&amp;"]"</f>
        <v>[S05_AggregateTotalEmissionsByCRF][1][CRFCategory1]</v>
      </c>
    </row>
    <row r="183" spans="1:15" x14ac:dyDescent="0.3">
      <c r="A183" t="s">
        <v>2277</v>
      </c>
      <c r="B183" t="s">
        <v>1846</v>
      </c>
      <c r="C183" t="s">
        <v>1849</v>
      </c>
      <c r="D183">
        <v>2</v>
      </c>
      <c r="E183" t="s">
        <v>1447</v>
      </c>
      <c r="F183" t="s">
        <v>1850</v>
      </c>
      <c r="G183" t="s">
        <v>1737</v>
      </c>
      <c r="H183" t="s">
        <v>2279</v>
      </c>
      <c r="I183" t="s">
        <v>2279</v>
      </c>
      <c r="J183" t="s">
        <v>2279</v>
      </c>
      <c r="K183" t="s">
        <v>2279</v>
      </c>
      <c r="L183" t="s">
        <v>1425</v>
      </c>
      <c r="M183" t="s">
        <v>2279</v>
      </c>
      <c r="N183" t="s">
        <v>2279</v>
      </c>
      <c r="O183" s="190" t="str">
        <f>"["&amp;$C183&amp;"]["&amp;$D183&amp;"]["&amp;$F183&amp;"]"</f>
        <v>[S05_AggregateTotalEmissionsByCRF][2][CRFCategory1]</v>
      </c>
    </row>
    <row r="184" spans="1:15" x14ac:dyDescent="0.3">
      <c r="A184" t="s">
        <v>2277</v>
      </c>
      <c r="B184" t="s">
        <v>1846</v>
      </c>
      <c r="C184" t="s">
        <v>1849</v>
      </c>
      <c r="D184">
        <v>3</v>
      </c>
      <c r="E184" t="s">
        <v>1447</v>
      </c>
      <c r="F184" t="s">
        <v>1850</v>
      </c>
      <c r="G184" t="s">
        <v>1737</v>
      </c>
      <c r="H184" t="s">
        <v>2279</v>
      </c>
      <c r="I184" t="s">
        <v>2279</v>
      </c>
      <c r="J184" t="s">
        <v>2279</v>
      </c>
      <c r="K184" t="s">
        <v>2279</v>
      </c>
      <c r="L184" t="s">
        <v>1425</v>
      </c>
      <c r="M184" t="s">
        <v>2279</v>
      </c>
      <c r="N184" t="s">
        <v>2279</v>
      </c>
      <c r="O184" s="190" t="str">
        <f>"["&amp;$C184&amp;"]["&amp;$D184&amp;"]["&amp;$F184&amp;"]"</f>
        <v>[S05_AggregateTotalEmissionsByCRF][3][CRFCategory1]</v>
      </c>
    </row>
    <row r="185" spans="1:15" x14ac:dyDescent="0.3">
      <c r="A185" t="s">
        <v>2277</v>
      </c>
      <c r="B185" t="s">
        <v>1846</v>
      </c>
      <c r="C185" t="s">
        <v>1849</v>
      </c>
      <c r="D185">
        <v>4</v>
      </c>
      <c r="E185" t="s">
        <v>1447</v>
      </c>
      <c r="F185" t="s">
        <v>1850</v>
      </c>
      <c r="G185" t="s">
        <v>1737</v>
      </c>
      <c r="H185" t="s">
        <v>2279</v>
      </c>
      <c r="I185" t="s">
        <v>2279</v>
      </c>
      <c r="J185" t="s">
        <v>2279</v>
      </c>
      <c r="K185" t="s">
        <v>2279</v>
      </c>
      <c r="L185" t="s">
        <v>1425</v>
      </c>
      <c r="M185" t="s">
        <v>2279</v>
      </c>
      <c r="N185" t="s">
        <v>2279</v>
      </c>
      <c r="O185" s="190" t="str">
        <f>"["&amp;$C185&amp;"]["&amp;$D185&amp;"]["&amp;$F185&amp;"]"</f>
        <v>[S05_AggregateTotalEmissionsByCRF][4][CRFCategory1]</v>
      </c>
    </row>
    <row r="186" spans="1:15" x14ac:dyDescent="0.3">
      <c r="A186" t="s">
        <v>2277</v>
      </c>
      <c r="B186" t="s">
        <v>1846</v>
      </c>
      <c r="C186" t="s">
        <v>1849</v>
      </c>
      <c r="D186">
        <v>5</v>
      </c>
      <c r="E186" t="s">
        <v>1447</v>
      </c>
      <c r="F186" t="s">
        <v>1850</v>
      </c>
      <c r="G186" t="s">
        <v>1737</v>
      </c>
      <c r="H186" t="s">
        <v>2279</v>
      </c>
      <c r="I186" t="s">
        <v>2279</v>
      </c>
      <c r="J186" t="s">
        <v>2279</v>
      </c>
      <c r="K186" t="s">
        <v>2279</v>
      </c>
      <c r="L186" t="s">
        <v>1425</v>
      </c>
      <c r="M186" t="s">
        <v>2279</v>
      </c>
      <c r="N186" t="s">
        <v>2279</v>
      </c>
      <c r="O186" s="190" t="str">
        <f>"["&amp;$C186&amp;"]["&amp;$D186&amp;"]["&amp;$F186&amp;"]"</f>
        <v>[S05_AggregateTotalEmissionsByCRF][5][CRFCategory1]</v>
      </c>
    </row>
    <row r="187" spans="1:15" x14ac:dyDescent="0.3">
      <c r="A187" t="s">
        <v>2277</v>
      </c>
      <c r="B187" t="s">
        <v>1846</v>
      </c>
      <c r="C187" t="s">
        <v>1849</v>
      </c>
      <c r="D187">
        <v>6</v>
      </c>
      <c r="E187" t="s">
        <v>1447</v>
      </c>
      <c r="F187" t="s">
        <v>1850</v>
      </c>
      <c r="G187" t="s">
        <v>1737</v>
      </c>
      <c r="H187" t="s">
        <v>2279</v>
      </c>
      <c r="I187" t="s">
        <v>2279</v>
      </c>
      <c r="J187" t="s">
        <v>2279</v>
      </c>
      <c r="K187" t="s">
        <v>2279</v>
      </c>
      <c r="L187" t="s">
        <v>1425</v>
      </c>
      <c r="M187" t="s">
        <v>2279</v>
      </c>
      <c r="N187" t="s">
        <v>2279</v>
      </c>
      <c r="O187" s="190" t="str">
        <f>"["&amp;$C187&amp;"]["&amp;$D187&amp;"]["&amp;$F187&amp;"]"</f>
        <v>[S05_AggregateTotalEmissionsByCRF][6][CRFCategory1]</v>
      </c>
    </row>
    <row r="188" spans="1:15" x14ac:dyDescent="0.3">
      <c r="A188" t="s">
        <v>2277</v>
      </c>
      <c r="B188" t="s">
        <v>1846</v>
      </c>
      <c r="C188" t="s">
        <v>1849</v>
      </c>
      <c r="D188">
        <v>7</v>
      </c>
      <c r="E188" t="s">
        <v>1447</v>
      </c>
      <c r="F188" t="s">
        <v>1850</v>
      </c>
      <c r="G188" t="s">
        <v>1737</v>
      </c>
      <c r="H188" t="s">
        <v>2279</v>
      </c>
      <c r="I188" t="s">
        <v>2279</v>
      </c>
      <c r="J188" t="s">
        <v>2279</v>
      </c>
      <c r="K188" t="s">
        <v>2279</v>
      </c>
      <c r="L188" t="s">
        <v>1481</v>
      </c>
      <c r="M188" t="s">
        <v>2279</v>
      </c>
      <c r="N188" t="s">
        <v>2279</v>
      </c>
      <c r="O188" s="190" t="str">
        <f>"["&amp;$C188&amp;"]["&amp;$D188&amp;"]["&amp;$F188&amp;"]"</f>
        <v>[S05_AggregateTotalEmissionsByCRF][7][CRFCategory1]</v>
      </c>
    </row>
    <row r="189" spans="1:15" x14ac:dyDescent="0.3">
      <c r="A189" t="s">
        <v>2277</v>
      </c>
      <c r="B189" t="s">
        <v>1846</v>
      </c>
      <c r="C189" t="s">
        <v>1849</v>
      </c>
      <c r="D189">
        <v>8</v>
      </c>
      <c r="E189" t="s">
        <v>1447</v>
      </c>
      <c r="F189" t="s">
        <v>1850</v>
      </c>
      <c r="G189" t="s">
        <v>1737</v>
      </c>
      <c r="H189" t="s">
        <v>2279</v>
      </c>
      <c r="I189" t="s">
        <v>2279</v>
      </c>
      <c r="J189" t="s">
        <v>2279</v>
      </c>
      <c r="K189" t="s">
        <v>2279</v>
      </c>
      <c r="L189" t="s">
        <v>1503</v>
      </c>
      <c r="M189" t="s">
        <v>2279</v>
      </c>
      <c r="N189" t="s">
        <v>2279</v>
      </c>
      <c r="O189" s="190" t="str">
        <f>"["&amp;$C189&amp;"]["&amp;$D189&amp;"]["&amp;$F189&amp;"]"</f>
        <v>[S05_AggregateTotalEmissionsByCRF][8][CRFCategory1]</v>
      </c>
    </row>
    <row r="190" spans="1:15" x14ac:dyDescent="0.3">
      <c r="A190" t="s">
        <v>2277</v>
      </c>
      <c r="B190" t="s">
        <v>1846</v>
      </c>
      <c r="C190" t="s">
        <v>1849</v>
      </c>
      <c r="D190">
        <v>9</v>
      </c>
      <c r="E190" t="s">
        <v>1447</v>
      </c>
      <c r="F190" t="s">
        <v>1850</v>
      </c>
      <c r="G190" t="s">
        <v>1737</v>
      </c>
      <c r="H190" t="s">
        <v>2279</v>
      </c>
      <c r="I190" t="s">
        <v>2279</v>
      </c>
      <c r="J190" t="s">
        <v>2279</v>
      </c>
      <c r="K190" t="s">
        <v>2279</v>
      </c>
      <c r="L190" t="s">
        <v>1531</v>
      </c>
      <c r="M190" t="s">
        <v>2279</v>
      </c>
      <c r="N190" t="s">
        <v>2279</v>
      </c>
      <c r="O190" s="190" t="str">
        <f>"["&amp;$C190&amp;"]["&amp;$D190&amp;"]["&amp;$F190&amp;"]"</f>
        <v>[S05_AggregateTotalEmissionsByCRF][9][CRFCategory1]</v>
      </c>
    </row>
    <row r="191" spans="1:15" x14ac:dyDescent="0.3">
      <c r="A191" t="s">
        <v>2277</v>
      </c>
      <c r="B191" t="s">
        <v>1846</v>
      </c>
      <c r="C191" t="s">
        <v>1849</v>
      </c>
      <c r="D191">
        <v>10</v>
      </c>
      <c r="E191" t="s">
        <v>1447</v>
      </c>
      <c r="F191" t="s">
        <v>1850</v>
      </c>
      <c r="G191" t="s">
        <v>1737</v>
      </c>
      <c r="H191" t="s">
        <v>2279</v>
      </c>
      <c r="I191" t="s">
        <v>2279</v>
      </c>
      <c r="J191" t="s">
        <v>2279</v>
      </c>
      <c r="K191" t="s">
        <v>2279</v>
      </c>
      <c r="L191" t="s">
        <v>1531</v>
      </c>
      <c r="M191" t="s">
        <v>2279</v>
      </c>
      <c r="N191" t="s">
        <v>2279</v>
      </c>
      <c r="O191" s="190" t="str">
        <f>"["&amp;$C191&amp;"]["&amp;$D191&amp;"]["&amp;$F191&amp;"]"</f>
        <v>[S05_AggregateTotalEmissionsByCRF][10][CRFCategory1]</v>
      </c>
    </row>
    <row r="192" spans="1:15" x14ac:dyDescent="0.3">
      <c r="A192" t="s">
        <v>2277</v>
      </c>
      <c r="B192" t="s">
        <v>1846</v>
      </c>
      <c r="C192" t="s">
        <v>1849</v>
      </c>
      <c r="D192">
        <v>11</v>
      </c>
      <c r="E192" t="s">
        <v>1447</v>
      </c>
      <c r="F192" t="s">
        <v>1850</v>
      </c>
      <c r="G192" t="s">
        <v>1737</v>
      </c>
      <c r="H192" t="s">
        <v>2279</v>
      </c>
      <c r="I192" t="s">
        <v>2279</v>
      </c>
      <c r="J192" t="s">
        <v>2279</v>
      </c>
      <c r="K192" t="s">
        <v>2279</v>
      </c>
      <c r="L192" t="s">
        <v>1541</v>
      </c>
      <c r="M192" t="s">
        <v>2279</v>
      </c>
      <c r="N192" t="s">
        <v>2279</v>
      </c>
      <c r="O192" s="190" t="str">
        <f>"["&amp;$C192&amp;"]["&amp;$D192&amp;"]["&amp;$F192&amp;"]"</f>
        <v>[S05_AggregateTotalEmissionsByCRF][11][CRFCategory1]</v>
      </c>
    </row>
    <row r="193" spans="1:15" x14ac:dyDescent="0.3">
      <c r="A193" t="s">
        <v>2277</v>
      </c>
      <c r="B193" t="s">
        <v>1846</v>
      </c>
      <c r="C193" t="s">
        <v>1849</v>
      </c>
      <c r="D193">
        <v>12</v>
      </c>
      <c r="E193" t="s">
        <v>1447</v>
      </c>
      <c r="F193" t="s">
        <v>1850</v>
      </c>
      <c r="G193" t="s">
        <v>1737</v>
      </c>
      <c r="H193" t="s">
        <v>2279</v>
      </c>
      <c r="I193" t="s">
        <v>2279</v>
      </c>
      <c r="J193" t="s">
        <v>2279</v>
      </c>
      <c r="K193" t="s">
        <v>2279</v>
      </c>
      <c r="L193" t="s">
        <v>1541</v>
      </c>
      <c r="M193" t="s">
        <v>2279</v>
      </c>
      <c r="N193" t="s">
        <v>2279</v>
      </c>
      <c r="O193" s="190" t="str">
        <f>"["&amp;$C193&amp;"]["&amp;$D193&amp;"]["&amp;$F193&amp;"]"</f>
        <v>[S05_AggregateTotalEmissionsByCRF][12][CRFCategory1]</v>
      </c>
    </row>
    <row r="194" spans="1:15" x14ac:dyDescent="0.3">
      <c r="A194" t="s">
        <v>2277</v>
      </c>
      <c r="B194" t="s">
        <v>1846</v>
      </c>
      <c r="C194" t="s">
        <v>1849</v>
      </c>
      <c r="D194">
        <v>13</v>
      </c>
      <c r="E194" t="s">
        <v>1447</v>
      </c>
      <c r="F194" t="s">
        <v>1850</v>
      </c>
      <c r="G194" t="s">
        <v>1737</v>
      </c>
      <c r="H194" t="s">
        <v>2279</v>
      </c>
      <c r="I194" t="s">
        <v>2279</v>
      </c>
      <c r="J194" t="s">
        <v>2279</v>
      </c>
      <c r="K194" t="s">
        <v>2279</v>
      </c>
      <c r="L194" t="s">
        <v>1550</v>
      </c>
      <c r="M194" t="s">
        <v>2279</v>
      </c>
      <c r="N194" t="s">
        <v>2279</v>
      </c>
      <c r="O194" s="190" t="str">
        <f>"["&amp;$C194&amp;"]["&amp;$D194&amp;"]["&amp;$F194&amp;"]"</f>
        <v>[S05_AggregateTotalEmissionsByCRF][13][CRFCategory1]</v>
      </c>
    </row>
    <row r="195" spans="1:15" x14ac:dyDescent="0.3">
      <c r="A195" t="s">
        <v>2277</v>
      </c>
      <c r="B195" t="s">
        <v>1846</v>
      </c>
      <c r="C195" t="s">
        <v>1849</v>
      </c>
      <c r="D195">
        <v>14</v>
      </c>
      <c r="E195" t="s">
        <v>1447</v>
      </c>
      <c r="F195" t="s">
        <v>1850</v>
      </c>
      <c r="G195" t="s">
        <v>1737</v>
      </c>
      <c r="H195" t="s">
        <v>2279</v>
      </c>
      <c r="I195" t="s">
        <v>2279</v>
      </c>
      <c r="J195" t="s">
        <v>2279</v>
      </c>
      <c r="K195" t="s">
        <v>2279</v>
      </c>
      <c r="L195" t="s">
        <v>1550</v>
      </c>
      <c r="M195" t="s">
        <v>2279</v>
      </c>
      <c r="N195" t="s">
        <v>2279</v>
      </c>
      <c r="O195" s="190" t="str">
        <f>"["&amp;$C195&amp;"]["&amp;$D195&amp;"]["&amp;$F195&amp;"]"</f>
        <v>[S05_AggregateTotalEmissionsByCRF][14][CRFCategory1]</v>
      </c>
    </row>
    <row r="196" spans="1:15" x14ac:dyDescent="0.3">
      <c r="A196" t="s">
        <v>2277</v>
      </c>
      <c r="B196" t="s">
        <v>1846</v>
      </c>
      <c r="C196" t="s">
        <v>1849</v>
      </c>
      <c r="D196">
        <v>15</v>
      </c>
      <c r="E196" t="s">
        <v>1447</v>
      </c>
      <c r="F196" t="s">
        <v>1850</v>
      </c>
      <c r="G196" t="s">
        <v>1737</v>
      </c>
      <c r="H196" t="s">
        <v>2279</v>
      </c>
      <c r="I196" t="s">
        <v>2279</v>
      </c>
      <c r="J196" t="s">
        <v>2279</v>
      </c>
      <c r="K196" t="s">
        <v>2279</v>
      </c>
      <c r="L196" t="s">
        <v>1550</v>
      </c>
      <c r="M196" t="s">
        <v>2279</v>
      </c>
      <c r="N196" t="s">
        <v>2279</v>
      </c>
      <c r="O196" s="190" t="str">
        <f>"["&amp;$C196&amp;"]["&amp;$D196&amp;"]["&amp;$F196&amp;"]"</f>
        <v>[S05_AggregateTotalEmissionsByCRF][15][CRFCategory1]</v>
      </c>
    </row>
    <row r="197" spans="1:15" x14ac:dyDescent="0.3">
      <c r="A197" t="s">
        <v>2277</v>
      </c>
      <c r="B197" t="s">
        <v>1846</v>
      </c>
      <c r="C197" t="s">
        <v>1849</v>
      </c>
      <c r="D197">
        <v>16</v>
      </c>
      <c r="E197" t="s">
        <v>1447</v>
      </c>
      <c r="F197" t="s">
        <v>1850</v>
      </c>
      <c r="G197" t="s">
        <v>1737</v>
      </c>
      <c r="H197" t="s">
        <v>2279</v>
      </c>
      <c r="I197" t="s">
        <v>2279</v>
      </c>
      <c r="J197" t="s">
        <v>2279</v>
      </c>
      <c r="K197" t="s">
        <v>2279</v>
      </c>
      <c r="L197" t="s">
        <v>1550</v>
      </c>
      <c r="M197" t="s">
        <v>2279</v>
      </c>
      <c r="N197" t="s">
        <v>2279</v>
      </c>
      <c r="O197" s="190" t="str">
        <f>"["&amp;$C197&amp;"]["&amp;$D197&amp;"]["&amp;$F197&amp;"]"</f>
        <v>[S05_AggregateTotalEmissionsByCRF][16][CRFCategory1]</v>
      </c>
    </row>
    <row r="198" spans="1:15" x14ac:dyDescent="0.3">
      <c r="A198" t="s">
        <v>2277</v>
      </c>
      <c r="B198" t="s">
        <v>1846</v>
      </c>
      <c r="C198" t="s">
        <v>1849</v>
      </c>
      <c r="D198">
        <v>17</v>
      </c>
      <c r="E198" t="s">
        <v>1447</v>
      </c>
      <c r="F198" t="s">
        <v>1850</v>
      </c>
      <c r="G198" t="s">
        <v>1737</v>
      </c>
      <c r="H198" t="s">
        <v>2279</v>
      </c>
      <c r="I198" t="s">
        <v>2279</v>
      </c>
      <c r="J198" t="s">
        <v>2279</v>
      </c>
      <c r="K198" t="s">
        <v>2279</v>
      </c>
      <c r="L198" t="s">
        <v>1550</v>
      </c>
      <c r="M198" t="s">
        <v>2279</v>
      </c>
      <c r="N198" t="s">
        <v>2279</v>
      </c>
      <c r="O198" s="190" t="str">
        <f>"["&amp;$C198&amp;"]["&amp;$D198&amp;"]["&amp;$F198&amp;"]"</f>
        <v>[S05_AggregateTotalEmissionsByCRF][17][CRFCategory1]</v>
      </c>
    </row>
    <row r="199" spans="1:15" x14ac:dyDescent="0.3">
      <c r="A199" t="s">
        <v>2277</v>
      </c>
      <c r="B199" t="s">
        <v>1846</v>
      </c>
      <c r="C199" t="s">
        <v>1849</v>
      </c>
      <c r="D199">
        <v>18</v>
      </c>
      <c r="E199" t="s">
        <v>1447</v>
      </c>
      <c r="F199" t="s">
        <v>1850</v>
      </c>
      <c r="G199" t="s">
        <v>1737</v>
      </c>
      <c r="H199" t="s">
        <v>2279</v>
      </c>
      <c r="I199" t="s">
        <v>2279</v>
      </c>
      <c r="J199" t="s">
        <v>2279</v>
      </c>
      <c r="K199" t="s">
        <v>2279</v>
      </c>
      <c r="L199" t="s">
        <v>1558</v>
      </c>
      <c r="M199" t="s">
        <v>2279</v>
      </c>
      <c r="N199" t="s">
        <v>2279</v>
      </c>
      <c r="O199" s="190" t="str">
        <f>"["&amp;$C199&amp;"]["&amp;$D199&amp;"]["&amp;$F199&amp;"]"</f>
        <v>[S05_AggregateTotalEmissionsByCRF][18][CRFCategory1]</v>
      </c>
    </row>
    <row r="200" spans="1:15" x14ac:dyDescent="0.3">
      <c r="A200" t="s">
        <v>2277</v>
      </c>
      <c r="B200" t="s">
        <v>1846</v>
      </c>
      <c r="C200" t="s">
        <v>1849</v>
      </c>
      <c r="D200">
        <v>19</v>
      </c>
      <c r="E200" t="s">
        <v>1447</v>
      </c>
      <c r="F200" t="s">
        <v>1850</v>
      </c>
      <c r="G200" t="s">
        <v>1737</v>
      </c>
      <c r="H200" t="s">
        <v>2279</v>
      </c>
      <c r="I200" t="s">
        <v>2279</v>
      </c>
      <c r="J200" t="s">
        <v>2279</v>
      </c>
      <c r="K200" t="s">
        <v>2279</v>
      </c>
      <c r="L200" t="s">
        <v>1558</v>
      </c>
      <c r="M200" t="s">
        <v>2279</v>
      </c>
      <c r="N200" t="s">
        <v>2279</v>
      </c>
      <c r="O200" s="190" t="str">
        <f>"["&amp;$C200&amp;"]["&amp;$D200&amp;"]["&amp;$F200&amp;"]"</f>
        <v>[S05_AggregateTotalEmissionsByCRF][19][CRFCategory1]</v>
      </c>
    </row>
    <row r="201" spans="1:15" x14ac:dyDescent="0.3">
      <c r="A201" t="s">
        <v>2277</v>
      </c>
      <c r="B201" t="s">
        <v>1846</v>
      </c>
      <c r="C201" t="s">
        <v>1849</v>
      </c>
      <c r="D201">
        <v>20</v>
      </c>
      <c r="E201" t="s">
        <v>1447</v>
      </c>
      <c r="F201" t="s">
        <v>1850</v>
      </c>
      <c r="G201" t="s">
        <v>1737</v>
      </c>
      <c r="H201" t="s">
        <v>2279</v>
      </c>
      <c r="I201" t="s">
        <v>2279</v>
      </c>
      <c r="J201" t="s">
        <v>2279</v>
      </c>
      <c r="K201" t="s">
        <v>2279</v>
      </c>
      <c r="L201" t="s">
        <v>1563</v>
      </c>
      <c r="M201" t="s">
        <v>2279</v>
      </c>
      <c r="N201" t="s">
        <v>2279</v>
      </c>
      <c r="O201" s="190" t="str">
        <f>"["&amp;$C201&amp;"]["&amp;$D201&amp;"]["&amp;$F201&amp;"]"</f>
        <v>[S05_AggregateTotalEmissionsByCRF][20][CRFCategory1]</v>
      </c>
    </row>
    <row r="202" spans="1:15" x14ac:dyDescent="0.3">
      <c r="A202" t="s">
        <v>2277</v>
      </c>
      <c r="B202" t="s">
        <v>1846</v>
      </c>
      <c r="C202" t="s">
        <v>1849</v>
      </c>
      <c r="D202">
        <v>21</v>
      </c>
      <c r="E202" t="s">
        <v>1447</v>
      </c>
      <c r="F202" t="s">
        <v>1850</v>
      </c>
      <c r="G202" t="s">
        <v>1737</v>
      </c>
      <c r="H202" t="s">
        <v>2279</v>
      </c>
      <c r="I202" t="s">
        <v>2279</v>
      </c>
      <c r="J202" t="s">
        <v>2279</v>
      </c>
      <c r="K202" t="s">
        <v>2279</v>
      </c>
      <c r="L202" t="s">
        <v>1563</v>
      </c>
      <c r="M202" t="s">
        <v>2279</v>
      </c>
      <c r="N202" t="s">
        <v>2279</v>
      </c>
      <c r="O202" s="190" t="str">
        <f>"["&amp;$C202&amp;"]["&amp;$D202&amp;"]["&amp;$F202&amp;"]"</f>
        <v>[S05_AggregateTotalEmissionsByCRF][21][CRFCategory1]</v>
      </c>
    </row>
    <row r="203" spans="1:15" x14ac:dyDescent="0.3">
      <c r="A203" t="s">
        <v>2277</v>
      </c>
      <c r="B203" t="s">
        <v>1846</v>
      </c>
      <c r="C203" t="s">
        <v>1849</v>
      </c>
      <c r="D203">
        <v>22</v>
      </c>
      <c r="E203" t="s">
        <v>1447</v>
      </c>
      <c r="F203" t="s">
        <v>1850</v>
      </c>
      <c r="G203" t="s">
        <v>1737</v>
      </c>
      <c r="H203" t="s">
        <v>2279</v>
      </c>
      <c r="I203" t="s">
        <v>2279</v>
      </c>
      <c r="J203" t="s">
        <v>2279</v>
      </c>
      <c r="K203" t="s">
        <v>2279</v>
      </c>
      <c r="L203" t="s">
        <v>1563</v>
      </c>
      <c r="M203" t="s">
        <v>2279</v>
      </c>
      <c r="N203" t="s">
        <v>2279</v>
      </c>
      <c r="O203" s="190" t="str">
        <f>"["&amp;$C203&amp;"]["&amp;$D203&amp;"]["&amp;$F203&amp;"]"</f>
        <v>[S05_AggregateTotalEmissionsByCRF][22][CRFCategory1]</v>
      </c>
    </row>
    <row r="204" spans="1:15" x14ac:dyDescent="0.3">
      <c r="A204" t="s">
        <v>2277</v>
      </c>
      <c r="B204" t="s">
        <v>1846</v>
      </c>
      <c r="C204" t="s">
        <v>1849</v>
      </c>
      <c r="D204">
        <v>23</v>
      </c>
      <c r="E204" t="s">
        <v>1447</v>
      </c>
      <c r="F204" t="s">
        <v>1850</v>
      </c>
      <c r="G204" t="s">
        <v>1737</v>
      </c>
      <c r="H204" t="s">
        <v>2279</v>
      </c>
      <c r="I204" t="s">
        <v>2279</v>
      </c>
      <c r="J204" t="s">
        <v>2279</v>
      </c>
      <c r="K204" t="s">
        <v>2279</v>
      </c>
      <c r="L204" t="s">
        <v>1569</v>
      </c>
      <c r="M204" t="s">
        <v>2279</v>
      </c>
      <c r="N204" t="s">
        <v>2279</v>
      </c>
      <c r="O204" s="190" t="str">
        <f>"["&amp;$C204&amp;"]["&amp;$D204&amp;"]["&amp;$F204&amp;"]"</f>
        <v>[S05_AggregateTotalEmissionsByCRF][23][CRFCategory1]</v>
      </c>
    </row>
    <row r="205" spans="1:15" x14ac:dyDescent="0.3">
      <c r="A205" t="s">
        <v>2277</v>
      </c>
      <c r="B205" t="s">
        <v>1846</v>
      </c>
      <c r="C205" t="s">
        <v>1849</v>
      </c>
      <c r="D205">
        <v>24</v>
      </c>
      <c r="E205" t="s">
        <v>1447</v>
      </c>
      <c r="F205" t="s">
        <v>1850</v>
      </c>
      <c r="G205" t="s">
        <v>1737</v>
      </c>
      <c r="H205" t="s">
        <v>2279</v>
      </c>
      <c r="I205" t="s">
        <v>2279</v>
      </c>
      <c r="J205" t="s">
        <v>2279</v>
      </c>
      <c r="K205" t="s">
        <v>2279</v>
      </c>
      <c r="L205" t="s">
        <v>1569</v>
      </c>
      <c r="M205" t="s">
        <v>2279</v>
      </c>
      <c r="N205" t="s">
        <v>2279</v>
      </c>
      <c r="O205" s="190" t="str">
        <f>"["&amp;$C205&amp;"]["&amp;$D205&amp;"]["&amp;$F205&amp;"]"</f>
        <v>[S05_AggregateTotalEmissionsByCRF][24][CRFCategory1]</v>
      </c>
    </row>
    <row r="206" spans="1:15" x14ac:dyDescent="0.3">
      <c r="A206" t="s">
        <v>2277</v>
      </c>
      <c r="B206" t="s">
        <v>1846</v>
      </c>
      <c r="C206" t="s">
        <v>1849</v>
      </c>
      <c r="D206">
        <v>25</v>
      </c>
      <c r="E206" t="s">
        <v>1447</v>
      </c>
      <c r="F206" t="s">
        <v>1850</v>
      </c>
      <c r="G206" t="s">
        <v>1737</v>
      </c>
      <c r="H206" t="s">
        <v>2279</v>
      </c>
      <c r="I206" t="s">
        <v>2279</v>
      </c>
      <c r="J206" t="s">
        <v>2279</v>
      </c>
      <c r="K206" t="s">
        <v>2279</v>
      </c>
      <c r="L206" t="s">
        <v>1569</v>
      </c>
      <c r="M206" t="s">
        <v>2279</v>
      </c>
      <c r="N206" t="s">
        <v>2279</v>
      </c>
      <c r="O206" s="190" t="str">
        <f>"["&amp;$C206&amp;"]["&amp;$D206&amp;"]["&amp;$F206&amp;"]"</f>
        <v>[S05_AggregateTotalEmissionsByCRF][25][CRFCategory1]</v>
      </c>
    </row>
    <row r="207" spans="1:15" x14ac:dyDescent="0.3">
      <c r="A207" t="s">
        <v>2277</v>
      </c>
      <c r="B207" t="s">
        <v>1846</v>
      </c>
      <c r="C207" t="s">
        <v>1849</v>
      </c>
      <c r="D207">
        <v>26</v>
      </c>
      <c r="E207" t="s">
        <v>1447</v>
      </c>
      <c r="F207" t="s">
        <v>1850</v>
      </c>
      <c r="G207" t="s">
        <v>1737</v>
      </c>
      <c r="H207" t="s">
        <v>2279</v>
      </c>
      <c r="I207" t="s">
        <v>2279</v>
      </c>
      <c r="J207" t="s">
        <v>2279</v>
      </c>
      <c r="K207" t="s">
        <v>2279</v>
      </c>
      <c r="L207" t="s">
        <v>1569</v>
      </c>
      <c r="M207" t="s">
        <v>2279</v>
      </c>
      <c r="N207" t="s">
        <v>2279</v>
      </c>
      <c r="O207" s="190" t="str">
        <f>"["&amp;$C207&amp;"]["&amp;$D207&amp;"]["&amp;$F207&amp;"]"</f>
        <v>[S05_AggregateTotalEmissionsByCRF][26][CRFCategory1]</v>
      </c>
    </row>
    <row r="208" spans="1:15" x14ac:dyDescent="0.3">
      <c r="A208" t="s">
        <v>2277</v>
      </c>
      <c r="B208" t="s">
        <v>1846</v>
      </c>
      <c r="C208" t="s">
        <v>1849</v>
      </c>
      <c r="D208">
        <v>27</v>
      </c>
      <c r="E208" t="s">
        <v>1447</v>
      </c>
      <c r="F208" t="s">
        <v>1850</v>
      </c>
      <c r="G208" t="s">
        <v>1737</v>
      </c>
      <c r="H208" t="s">
        <v>2279</v>
      </c>
      <c r="I208" t="s">
        <v>2279</v>
      </c>
      <c r="J208" t="s">
        <v>2279</v>
      </c>
      <c r="K208" t="s">
        <v>2279</v>
      </c>
      <c r="L208" t="s">
        <v>1569</v>
      </c>
      <c r="M208" t="s">
        <v>2279</v>
      </c>
      <c r="N208" t="s">
        <v>2279</v>
      </c>
      <c r="O208" s="190" t="str">
        <f>"["&amp;$C208&amp;"]["&amp;$D208&amp;"]["&amp;$F208&amp;"]"</f>
        <v>[S05_AggregateTotalEmissionsByCRF][27][CRFCategory1]</v>
      </c>
    </row>
    <row r="209" spans="1:15" x14ac:dyDescent="0.3">
      <c r="A209" t="s">
        <v>2277</v>
      </c>
      <c r="B209" t="s">
        <v>1846</v>
      </c>
      <c r="C209" t="s">
        <v>1849</v>
      </c>
      <c r="D209">
        <v>28</v>
      </c>
      <c r="E209" t="s">
        <v>1447</v>
      </c>
      <c r="F209" t="s">
        <v>1850</v>
      </c>
      <c r="G209" t="s">
        <v>1737</v>
      </c>
      <c r="H209" t="s">
        <v>2279</v>
      </c>
      <c r="I209" t="s">
        <v>2279</v>
      </c>
      <c r="J209" t="s">
        <v>2279</v>
      </c>
      <c r="K209" t="s">
        <v>2279</v>
      </c>
      <c r="L209" t="s">
        <v>1574</v>
      </c>
      <c r="M209" t="s">
        <v>2279</v>
      </c>
      <c r="N209" t="s">
        <v>2279</v>
      </c>
      <c r="O209" s="190" t="str">
        <f>"["&amp;$C209&amp;"]["&amp;$D209&amp;"]["&amp;$F209&amp;"]"</f>
        <v>[S05_AggregateTotalEmissionsByCRF][28][CRFCategory1]</v>
      </c>
    </row>
    <row r="210" spans="1:15" x14ac:dyDescent="0.3">
      <c r="A210" t="s">
        <v>2277</v>
      </c>
      <c r="B210" t="s">
        <v>1846</v>
      </c>
      <c r="C210" t="s">
        <v>1849</v>
      </c>
      <c r="D210">
        <v>29</v>
      </c>
      <c r="E210" t="s">
        <v>1447</v>
      </c>
      <c r="F210" t="s">
        <v>1850</v>
      </c>
      <c r="G210" t="s">
        <v>1737</v>
      </c>
      <c r="H210" t="s">
        <v>2279</v>
      </c>
      <c r="I210" t="s">
        <v>2279</v>
      </c>
      <c r="J210" t="s">
        <v>2279</v>
      </c>
      <c r="K210" t="s">
        <v>2279</v>
      </c>
      <c r="L210" t="s">
        <v>1574</v>
      </c>
      <c r="M210" t="s">
        <v>2279</v>
      </c>
      <c r="N210" t="s">
        <v>2279</v>
      </c>
      <c r="O210" s="190" t="str">
        <f>"["&amp;$C210&amp;"]["&amp;$D210&amp;"]["&amp;$F210&amp;"]"</f>
        <v>[S05_AggregateTotalEmissionsByCRF][29][CRFCategory1]</v>
      </c>
    </row>
    <row r="211" spans="1:15" x14ac:dyDescent="0.3">
      <c r="A211" t="s">
        <v>2277</v>
      </c>
      <c r="B211" t="s">
        <v>1846</v>
      </c>
      <c r="C211" t="s">
        <v>1849</v>
      </c>
      <c r="D211">
        <v>30</v>
      </c>
      <c r="E211" t="s">
        <v>1447</v>
      </c>
      <c r="F211" t="s">
        <v>1850</v>
      </c>
      <c r="G211" t="s">
        <v>1737</v>
      </c>
      <c r="H211" t="s">
        <v>2279</v>
      </c>
      <c r="I211" t="s">
        <v>2279</v>
      </c>
      <c r="J211" t="s">
        <v>2279</v>
      </c>
      <c r="K211" t="s">
        <v>2279</v>
      </c>
      <c r="L211" t="s">
        <v>1574</v>
      </c>
      <c r="M211" t="s">
        <v>2279</v>
      </c>
      <c r="N211" t="s">
        <v>2279</v>
      </c>
      <c r="O211" s="190" t="str">
        <f>"["&amp;$C211&amp;"]["&amp;$D211&amp;"]["&amp;$F211&amp;"]"</f>
        <v>[S05_AggregateTotalEmissionsByCRF][30][CRFCategory1]</v>
      </c>
    </row>
    <row r="212" spans="1:15" x14ac:dyDescent="0.3">
      <c r="A212" t="s">
        <v>2277</v>
      </c>
      <c r="B212" t="s">
        <v>1846</v>
      </c>
      <c r="C212" t="s">
        <v>1849</v>
      </c>
      <c r="D212">
        <v>31</v>
      </c>
      <c r="E212" t="s">
        <v>1447</v>
      </c>
      <c r="F212" t="s">
        <v>1850</v>
      </c>
      <c r="G212" t="s">
        <v>1737</v>
      </c>
      <c r="H212" t="s">
        <v>2279</v>
      </c>
      <c r="I212" t="s">
        <v>2279</v>
      </c>
      <c r="J212" t="s">
        <v>2279</v>
      </c>
      <c r="K212" t="s">
        <v>2279</v>
      </c>
      <c r="L212" t="s">
        <v>1574</v>
      </c>
      <c r="M212" t="s">
        <v>2279</v>
      </c>
      <c r="N212" t="s">
        <v>2279</v>
      </c>
      <c r="O212" s="190" t="str">
        <f>"["&amp;$C212&amp;"]["&amp;$D212&amp;"]["&amp;$F212&amp;"]"</f>
        <v>[S05_AggregateTotalEmissionsByCRF][31][CRFCategory1]</v>
      </c>
    </row>
    <row r="213" spans="1:15" x14ac:dyDescent="0.3">
      <c r="A213" t="s">
        <v>2277</v>
      </c>
      <c r="B213" t="s">
        <v>1846</v>
      </c>
      <c r="C213" t="s">
        <v>1849</v>
      </c>
      <c r="D213">
        <v>32</v>
      </c>
      <c r="E213" t="s">
        <v>1447</v>
      </c>
      <c r="F213" t="s">
        <v>1850</v>
      </c>
      <c r="G213" t="s">
        <v>1737</v>
      </c>
      <c r="H213" t="s">
        <v>2279</v>
      </c>
      <c r="I213" t="s">
        <v>2279</v>
      </c>
      <c r="J213" t="s">
        <v>2279</v>
      </c>
      <c r="K213" t="s">
        <v>2279</v>
      </c>
      <c r="L213" t="s">
        <v>1583</v>
      </c>
      <c r="M213" t="s">
        <v>2279</v>
      </c>
      <c r="N213" t="s">
        <v>2279</v>
      </c>
      <c r="O213" s="190" t="str">
        <f>"["&amp;$C213&amp;"]["&amp;$D213&amp;"]["&amp;$F213&amp;"]"</f>
        <v>[S05_AggregateTotalEmissionsByCRF][32][CRFCategory1]</v>
      </c>
    </row>
    <row r="214" spans="1:15" x14ac:dyDescent="0.3">
      <c r="A214" t="s">
        <v>2277</v>
      </c>
      <c r="B214" t="s">
        <v>1846</v>
      </c>
      <c r="C214" t="s">
        <v>1849</v>
      </c>
      <c r="D214">
        <v>33</v>
      </c>
      <c r="E214" t="s">
        <v>1447</v>
      </c>
      <c r="F214" t="s">
        <v>1850</v>
      </c>
      <c r="G214" t="s">
        <v>1737</v>
      </c>
      <c r="H214" t="s">
        <v>2279</v>
      </c>
      <c r="I214" t="s">
        <v>2279</v>
      </c>
      <c r="J214" t="s">
        <v>2279</v>
      </c>
      <c r="K214" t="s">
        <v>2279</v>
      </c>
      <c r="L214" t="s">
        <v>1593</v>
      </c>
      <c r="M214" t="s">
        <v>2279</v>
      </c>
      <c r="N214" t="s">
        <v>2279</v>
      </c>
      <c r="O214" s="190" t="str">
        <f>"["&amp;$C214&amp;"]["&amp;$D214&amp;"]["&amp;$F214&amp;"]"</f>
        <v>[S05_AggregateTotalEmissionsByCRF][33][CRFCategory1]</v>
      </c>
    </row>
    <row r="215" spans="1:15" x14ac:dyDescent="0.3">
      <c r="A215" t="s">
        <v>2277</v>
      </c>
      <c r="B215" t="s">
        <v>1846</v>
      </c>
      <c r="C215" t="s">
        <v>1849</v>
      </c>
      <c r="D215">
        <v>34</v>
      </c>
      <c r="E215" t="s">
        <v>1447</v>
      </c>
      <c r="F215" t="s">
        <v>1850</v>
      </c>
      <c r="G215" t="s">
        <v>1737</v>
      </c>
      <c r="H215" t="s">
        <v>2279</v>
      </c>
      <c r="I215" t="s">
        <v>2279</v>
      </c>
      <c r="J215" t="s">
        <v>2279</v>
      </c>
      <c r="K215" t="s">
        <v>2279</v>
      </c>
      <c r="L215" t="s">
        <v>1608</v>
      </c>
      <c r="M215" t="s">
        <v>2279</v>
      </c>
      <c r="N215" t="s">
        <v>2279</v>
      </c>
      <c r="O215" s="190" t="str">
        <f>"["&amp;$C215&amp;"]["&amp;$D215&amp;"]["&amp;$F215&amp;"]"</f>
        <v>[S05_AggregateTotalEmissionsByCRF][34][CRFCategory1]</v>
      </c>
    </row>
    <row r="216" spans="1:15" x14ac:dyDescent="0.3">
      <c r="A216" t="s">
        <v>2277</v>
      </c>
      <c r="B216" t="s">
        <v>1846</v>
      </c>
      <c r="C216" t="s">
        <v>1849</v>
      </c>
      <c r="D216">
        <v>35</v>
      </c>
      <c r="E216" t="s">
        <v>1447</v>
      </c>
      <c r="F216" t="s">
        <v>1850</v>
      </c>
      <c r="G216" t="s">
        <v>1737</v>
      </c>
      <c r="H216" t="s">
        <v>2279</v>
      </c>
      <c r="I216" t="s">
        <v>2279</v>
      </c>
      <c r="J216" t="s">
        <v>2279</v>
      </c>
      <c r="K216" t="s">
        <v>2279</v>
      </c>
      <c r="L216" t="s">
        <v>1608</v>
      </c>
      <c r="M216" t="s">
        <v>2279</v>
      </c>
      <c r="N216" t="s">
        <v>2279</v>
      </c>
      <c r="O216" s="190" t="str">
        <f>"["&amp;$C216&amp;"]["&amp;$D216&amp;"]["&amp;$F216&amp;"]"</f>
        <v>[S05_AggregateTotalEmissionsByCRF][35][CRFCategory1]</v>
      </c>
    </row>
    <row r="217" spans="1:15" x14ac:dyDescent="0.3">
      <c r="A217" t="s">
        <v>2277</v>
      </c>
      <c r="B217" t="s">
        <v>1846</v>
      </c>
      <c r="C217" t="s">
        <v>1849</v>
      </c>
      <c r="D217">
        <v>36</v>
      </c>
      <c r="E217" t="s">
        <v>1447</v>
      </c>
      <c r="F217" t="s">
        <v>1850</v>
      </c>
      <c r="G217" t="s">
        <v>1737</v>
      </c>
      <c r="H217" t="s">
        <v>2279</v>
      </c>
      <c r="I217" t="s">
        <v>2279</v>
      </c>
      <c r="J217" t="s">
        <v>2279</v>
      </c>
      <c r="K217" t="s">
        <v>2279</v>
      </c>
      <c r="L217" t="s">
        <v>1637</v>
      </c>
      <c r="M217" t="s">
        <v>2279</v>
      </c>
      <c r="N217" t="s">
        <v>2279</v>
      </c>
      <c r="O217" s="190" t="str">
        <f>"["&amp;$C217&amp;"]["&amp;$D217&amp;"]["&amp;$F217&amp;"]"</f>
        <v>[S05_AggregateTotalEmissionsByCRF][36][CRFCategory1]</v>
      </c>
    </row>
    <row r="218" spans="1:15" x14ac:dyDescent="0.3">
      <c r="A218" t="s">
        <v>2277</v>
      </c>
      <c r="B218" t="s">
        <v>1846</v>
      </c>
      <c r="C218" t="s">
        <v>1849</v>
      </c>
      <c r="D218">
        <v>37</v>
      </c>
      <c r="E218" t="s">
        <v>1447</v>
      </c>
      <c r="F218" t="s">
        <v>1850</v>
      </c>
      <c r="G218" t="s">
        <v>1737</v>
      </c>
      <c r="H218" t="s">
        <v>2279</v>
      </c>
      <c r="I218" t="s">
        <v>2279</v>
      </c>
      <c r="J218" t="s">
        <v>2279</v>
      </c>
      <c r="K218" t="s">
        <v>2279</v>
      </c>
      <c r="L218" t="s">
        <v>1637</v>
      </c>
      <c r="M218" t="s">
        <v>2279</v>
      </c>
      <c r="N218" t="s">
        <v>2279</v>
      </c>
      <c r="O218" s="190" t="str">
        <f>"["&amp;$C218&amp;"]["&amp;$D218&amp;"]["&amp;$F218&amp;"]"</f>
        <v>[S05_AggregateTotalEmissionsByCRF][37][CRFCategory1]</v>
      </c>
    </row>
    <row r="219" spans="1:15" x14ac:dyDescent="0.3">
      <c r="A219" t="s">
        <v>2277</v>
      </c>
      <c r="B219" t="s">
        <v>1846</v>
      </c>
      <c r="C219" t="s">
        <v>1849</v>
      </c>
      <c r="D219">
        <v>38</v>
      </c>
      <c r="E219" t="s">
        <v>1447</v>
      </c>
      <c r="F219" t="s">
        <v>1850</v>
      </c>
      <c r="G219" t="s">
        <v>1737</v>
      </c>
      <c r="H219" t="s">
        <v>2279</v>
      </c>
      <c r="I219" t="s">
        <v>2279</v>
      </c>
      <c r="J219" t="s">
        <v>2279</v>
      </c>
      <c r="K219" t="s">
        <v>2279</v>
      </c>
      <c r="L219" t="s">
        <v>1637</v>
      </c>
      <c r="M219" t="s">
        <v>2279</v>
      </c>
      <c r="N219" t="s">
        <v>2279</v>
      </c>
      <c r="O219" s="190" t="str">
        <f>"["&amp;$C219&amp;"]["&amp;$D219&amp;"]["&amp;$F219&amp;"]"</f>
        <v>[S05_AggregateTotalEmissionsByCRF][38][CRFCategory1]</v>
      </c>
    </row>
    <row r="220" spans="1:15" x14ac:dyDescent="0.3">
      <c r="A220" t="s">
        <v>2277</v>
      </c>
      <c r="B220" t="s">
        <v>1846</v>
      </c>
      <c r="C220" t="s">
        <v>1849</v>
      </c>
      <c r="D220">
        <v>2</v>
      </c>
      <c r="E220" t="s">
        <v>1447</v>
      </c>
      <c r="F220" t="s">
        <v>1851</v>
      </c>
      <c r="G220" t="s">
        <v>1737</v>
      </c>
      <c r="H220" t="s">
        <v>2279</v>
      </c>
      <c r="I220" t="s">
        <v>2279</v>
      </c>
      <c r="J220" t="s">
        <v>2279</v>
      </c>
      <c r="K220" t="s">
        <v>2279</v>
      </c>
      <c r="L220" t="s">
        <v>1504</v>
      </c>
      <c r="M220" t="s">
        <v>2279</v>
      </c>
      <c r="N220" t="s">
        <v>2279</v>
      </c>
      <c r="O220" s="190" t="str">
        <f>"["&amp;$C220&amp;"]["&amp;$D220&amp;"]["&amp;$F220&amp;"]"</f>
        <v>[S05_AggregateTotalEmissionsByCRF][2][CRFCategory2]</v>
      </c>
    </row>
    <row r="221" spans="1:15" x14ac:dyDescent="0.3">
      <c r="A221" t="s">
        <v>2277</v>
      </c>
      <c r="B221" t="s">
        <v>1846</v>
      </c>
      <c r="C221" t="s">
        <v>1849</v>
      </c>
      <c r="D221">
        <v>3</v>
      </c>
      <c r="E221" t="s">
        <v>1447</v>
      </c>
      <c r="F221" t="s">
        <v>1851</v>
      </c>
      <c r="G221" t="s">
        <v>1737</v>
      </c>
      <c r="H221" t="s">
        <v>2279</v>
      </c>
      <c r="I221" t="s">
        <v>2279</v>
      </c>
      <c r="J221" t="s">
        <v>2279</v>
      </c>
      <c r="K221" t="s">
        <v>2279</v>
      </c>
      <c r="L221" t="s">
        <v>1584</v>
      </c>
      <c r="M221" t="s">
        <v>2279</v>
      </c>
      <c r="N221" t="s">
        <v>2279</v>
      </c>
      <c r="O221" s="190" t="str">
        <f>"["&amp;$C221&amp;"]["&amp;$D221&amp;"]["&amp;$F221&amp;"]"</f>
        <v>[S05_AggregateTotalEmissionsByCRF][3][CRFCategory2]</v>
      </c>
    </row>
    <row r="222" spans="1:15" x14ac:dyDescent="0.3">
      <c r="A222" t="s">
        <v>2277</v>
      </c>
      <c r="B222" t="s">
        <v>1846</v>
      </c>
      <c r="C222" t="s">
        <v>1849</v>
      </c>
      <c r="D222">
        <v>4</v>
      </c>
      <c r="E222" t="s">
        <v>1447</v>
      </c>
      <c r="F222" t="s">
        <v>1851</v>
      </c>
      <c r="G222" t="s">
        <v>1737</v>
      </c>
      <c r="H222" t="s">
        <v>2279</v>
      </c>
      <c r="I222" t="s">
        <v>2279</v>
      </c>
      <c r="J222" t="s">
        <v>2279</v>
      </c>
      <c r="K222" t="s">
        <v>2279</v>
      </c>
      <c r="L222" t="s">
        <v>1589</v>
      </c>
      <c r="M222" t="s">
        <v>2279</v>
      </c>
      <c r="N222" t="s">
        <v>2279</v>
      </c>
      <c r="O222" s="190" t="str">
        <f>"["&amp;$C222&amp;"]["&amp;$D222&amp;"]["&amp;$F222&amp;"]"</f>
        <v>[S05_AggregateTotalEmissionsByCRF][4][CRFCategory2]</v>
      </c>
    </row>
    <row r="223" spans="1:15" x14ac:dyDescent="0.3">
      <c r="A223" t="s">
        <v>2277</v>
      </c>
      <c r="B223" t="s">
        <v>1846</v>
      </c>
      <c r="C223" t="s">
        <v>1849</v>
      </c>
      <c r="D223">
        <v>5</v>
      </c>
      <c r="E223" t="s">
        <v>1447</v>
      </c>
      <c r="F223" t="s">
        <v>1851</v>
      </c>
      <c r="G223" t="s">
        <v>1737</v>
      </c>
      <c r="H223" t="s">
        <v>2279</v>
      </c>
      <c r="I223" t="s">
        <v>2279</v>
      </c>
      <c r="J223" t="s">
        <v>2279</v>
      </c>
      <c r="K223" t="s">
        <v>2279</v>
      </c>
      <c r="L223" t="s">
        <v>1648</v>
      </c>
      <c r="M223" t="s">
        <v>2279</v>
      </c>
      <c r="N223" t="s">
        <v>2279</v>
      </c>
      <c r="O223" s="190" t="str">
        <f>"["&amp;$C223&amp;"]["&amp;$D223&amp;"]["&amp;$F223&amp;"]"</f>
        <v>[S05_AggregateTotalEmissionsByCRF][5][CRFCategory2]</v>
      </c>
    </row>
    <row r="224" spans="1:15" x14ac:dyDescent="0.3">
      <c r="A224" t="s">
        <v>2277</v>
      </c>
      <c r="B224" t="s">
        <v>1846</v>
      </c>
      <c r="C224" t="s">
        <v>1849</v>
      </c>
      <c r="D224">
        <v>6</v>
      </c>
      <c r="E224" t="s">
        <v>1447</v>
      </c>
      <c r="F224" t="s">
        <v>1851</v>
      </c>
      <c r="G224" t="s">
        <v>1737</v>
      </c>
      <c r="H224" t="s">
        <v>2279</v>
      </c>
      <c r="I224" t="s">
        <v>2279</v>
      </c>
      <c r="J224" t="s">
        <v>2279</v>
      </c>
      <c r="K224" t="s">
        <v>2279</v>
      </c>
      <c r="L224" t="s">
        <v>1676</v>
      </c>
      <c r="M224" t="s">
        <v>2279</v>
      </c>
      <c r="N224" t="s">
        <v>2279</v>
      </c>
      <c r="O224" s="190" t="str">
        <f>"["&amp;$C224&amp;"]["&amp;$D224&amp;"]["&amp;$F224&amp;"]"</f>
        <v>[S05_AggregateTotalEmissionsByCRF][6][CRFCategory2]</v>
      </c>
    </row>
    <row r="225" spans="1:15" x14ac:dyDescent="0.3">
      <c r="A225" t="s">
        <v>2277</v>
      </c>
      <c r="B225" t="s">
        <v>1846</v>
      </c>
      <c r="C225" t="s">
        <v>1849</v>
      </c>
      <c r="D225">
        <v>10</v>
      </c>
      <c r="E225" t="s">
        <v>1447</v>
      </c>
      <c r="F225" t="s">
        <v>1851</v>
      </c>
      <c r="G225" t="s">
        <v>1737</v>
      </c>
      <c r="H225" t="s">
        <v>2279</v>
      </c>
      <c r="I225" t="s">
        <v>2279</v>
      </c>
      <c r="J225" t="s">
        <v>2279</v>
      </c>
      <c r="K225" t="s">
        <v>2279</v>
      </c>
      <c r="L225" t="s">
        <v>1589</v>
      </c>
      <c r="M225" t="s">
        <v>2279</v>
      </c>
      <c r="N225" t="s">
        <v>2279</v>
      </c>
      <c r="O225" s="190" t="str">
        <f>"["&amp;$C225&amp;"]["&amp;$D225&amp;"]["&amp;$F225&amp;"]"</f>
        <v>[S05_AggregateTotalEmissionsByCRF][10][CRFCategory2]</v>
      </c>
    </row>
    <row r="226" spans="1:15" x14ac:dyDescent="0.3">
      <c r="A226" t="s">
        <v>2277</v>
      </c>
      <c r="B226" t="s">
        <v>1846</v>
      </c>
      <c r="C226" t="s">
        <v>1849</v>
      </c>
      <c r="D226">
        <v>12</v>
      </c>
      <c r="E226" t="s">
        <v>1447</v>
      </c>
      <c r="F226" t="s">
        <v>1851</v>
      </c>
      <c r="G226" t="s">
        <v>1737</v>
      </c>
      <c r="H226" t="s">
        <v>2279</v>
      </c>
      <c r="I226" t="s">
        <v>2279</v>
      </c>
      <c r="J226" t="s">
        <v>2279</v>
      </c>
      <c r="K226" t="s">
        <v>2279</v>
      </c>
      <c r="L226" t="s">
        <v>1599</v>
      </c>
      <c r="M226" t="s">
        <v>2279</v>
      </c>
      <c r="N226" t="s">
        <v>2279</v>
      </c>
      <c r="O226" s="190" t="str">
        <f>"["&amp;$C226&amp;"]["&amp;$D226&amp;"]["&amp;$F226&amp;"]"</f>
        <v>[S05_AggregateTotalEmissionsByCRF][12][CRFCategory2]</v>
      </c>
    </row>
    <row r="227" spans="1:15" x14ac:dyDescent="0.3">
      <c r="A227" t="s">
        <v>2277</v>
      </c>
      <c r="B227" t="s">
        <v>1846</v>
      </c>
      <c r="C227" t="s">
        <v>1849</v>
      </c>
      <c r="D227">
        <v>14</v>
      </c>
      <c r="E227" t="s">
        <v>1447</v>
      </c>
      <c r="F227" t="s">
        <v>1851</v>
      </c>
      <c r="G227" t="s">
        <v>1737</v>
      </c>
      <c r="H227" t="s">
        <v>2279</v>
      </c>
      <c r="I227" t="s">
        <v>2279</v>
      </c>
      <c r="J227" t="s">
        <v>2279</v>
      </c>
      <c r="K227" t="s">
        <v>2279</v>
      </c>
      <c r="L227" t="s">
        <v>1584</v>
      </c>
      <c r="M227" t="s">
        <v>2279</v>
      </c>
      <c r="N227" t="s">
        <v>2279</v>
      </c>
      <c r="O227" s="190" t="str">
        <f>"["&amp;$C227&amp;"]["&amp;$D227&amp;"]["&amp;$F227&amp;"]"</f>
        <v>[S05_AggregateTotalEmissionsByCRF][14][CRFCategory2]</v>
      </c>
    </row>
    <row r="228" spans="1:15" x14ac:dyDescent="0.3">
      <c r="A228" t="s">
        <v>2277</v>
      </c>
      <c r="B228" t="s">
        <v>1846</v>
      </c>
      <c r="C228" t="s">
        <v>1849</v>
      </c>
      <c r="D228">
        <v>15</v>
      </c>
      <c r="E228" t="s">
        <v>1447</v>
      </c>
      <c r="F228" t="s">
        <v>1851</v>
      </c>
      <c r="G228" t="s">
        <v>1737</v>
      </c>
      <c r="H228" t="s">
        <v>2279</v>
      </c>
      <c r="I228" t="s">
        <v>2279</v>
      </c>
      <c r="J228" t="s">
        <v>2279</v>
      </c>
      <c r="K228" t="s">
        <v>2279</v>
      </c>
      <c r="L228" t="s">
        <v>1532</v>
      </c>
      <c r="M228" t="s">
        <v>2279</v>
      </c>
      <c r="N228" t="s">
        <v>2279</v>
      </c>
      <c r="O228" s="190" t="str">
        <f>"["&amp;$C228&amp;"]["&amp;$D228&amp;"]["&amp;$F228&amp;"]"</f>
        <v>[S05_AggregateTotalEmissionsByCRF][15][CRFCategory2]</v>
      </c>
    </row>
    <row r="229" spans="1:15" x14ac:dyDescent="0.3">
      <c r="A229" t="s">
        <v>2277</v>
      </c>
      <c r="B229" t="s">
        <v>1846</v>
      </c>
      <c r="C229" t="s">
        <v>1849</v>
      </c>
      <c r="D229">
        <v>16</v>
      </c>
      <c r="E229" t="s">
        <v>1447</v>
      </c>
      <c r="F229" t="s">
        <v>1851</v>
      </c>
      <c r="G229" t="s">
        <v>1737</v>
      </c>
      <c r="H229" t="s">
        <v>2279</v>
      </c>
      <c r="I229" t="s">
        <v>2279</v>
      </c>
      <c r="J229" t="s">
        <v>2279</v>
      </c>
      <c r="K229" t="s">
        <v>2279</v>
      </c>
      <c r="L229" t="s">
        <v>1564</v>
      </c>
      <c r="M229" t="s">
        <v>2279</v>
      </c>
      <c r="N229" t="s">
        <v>2279</v>
      </c>
      <c r="O229" s="190" t="str">
        <f>"["&amp;$C229&amp;"]["&amp;$D229&amp;"]["&amp;$F229&amp;"]"</f>
        <v>[S05_AggregateTotalEmissionsByCRF][16][CRFCategory2]</v>
      </c>
    </row>
    <row r="230" spans="1:15" x14ac:dyDescent="0.3">
      <c r="A230" t="s">
        <v>2277</v>
      </c>
      <c r="B230" t="s">
        <v>1846</v>
      </c>
      <c r="C230" t="s">
        <v>1849</v>
      </c>
      <c r="D230">
        <v>17</v>
      </c>
      <c r="E230" t="s">
        <v>1447</v>
      </c>
      <c r="F230" t="s">
        <v>1851</v>
      </c>
      <c r="G230" t="s">
        <v>1737</v>
      </c>
      <c r="H230" t="s">
        <v>2279</v>
      </c>
      <c r="I230" t="s">
        <v>2279</v>
      </c>
      <c r="J230" t="s">
        <v>2279</v>
      </c>
      <c r="K230" t="s">
        <v>2279</v>
      </c>
      <c r="L230" t="s">
        <v>1575</v>
      </c>
      <c r="M230" t="s">
        <v>2279</v>
      </c>
      <c r="N230" t="s">
        <v>2279</v>
      </c>
      <c r="O230" s="190" t="str">
        <f>"["&amp;$C230&amp;"]["&amp;$D230&amp;"]["&amp;$F230&amp;"]"</f>
        <v>[S05_AggregateTotalEmissionsByCRF][17][CRFCategory2]</v>
      </c>
    </row>
    <row r="231" spans="1:15" x14ac:dyDescent="0.3">
      <c r="A231" t="s">
        <v>2277</v>
      </c>
      <c r="B231" t="s">
        <v>1846</v>
      </c>
      <c r="C231" t="s">
        <v>1849</v>
      </c>
      <c r="D231">
        <v>19</v>
      </c>
      <c r="E231" t="s">
        <v>1447</v>
      </c>
      <c r="F231" t="s">
        <v>1851</v>
      </c>
      <c r="G231" t="s">
        <v>1737</v>
      </c>
      <c r="H231" t="s">
        <v>2279</v>
      </c>
      <c r="I231" t="s">
        <v>2279</v>
      </c>
      <c r="J231" t="s">
        <v>2279</v>
      </c>
      <c r="K231" t="s">
        <v>2279</v>
      </c>
      <c r="L231" t="s">
        <v>1676</v>
      </c>
      <c r="M231" t="s">
        <v>2279</v>
      </c>
      <c r="N231" t="s">
        <v>2279</v>
      </c>
      <c r="O231" s="190" t="str">
        <f>"["&amp;$C231&amp;"]["&amp;$D231&amp;"]["&amp;$F231&amp;"]"</f>
        <v>[S05_AggregateTotalEmissionsByCRF][19][CRFCategory2]</v>
      </c>
    </row>
    <row r="232" spans="1:15" x14ac:dyDescent="0.3">
      <c r="A232" t="s">
        <v>2277</v>
      </c>
      <c r="B232" t="s">
        <v>1846</v>
      </c>
      <c r="C232" t="s">
        <v>1849</v>
      </c>
      <c r="D232">
        <v>21</v>
      </c>
      <c r="E232" t="s">
        <v>1447</v>
      </c>
      <c r="F232" t="s">
        <v>1851</v>
      </c>
      <c r="G232" t="s">
        <v>1737</v>
      </c>
      <c r="H232" t="s">
        <v>2279</v>
      </c>
      <c r="I232" t="s">
        <v>2279</v>
      </c>
      <c r="J232" t="s">
        <v>2279</v>
      </c>
      <c r="K232" t="s">
        <v>2279</v>
      </c>
      <c r="L232" t="s">
        <v>1454</v>
      </c>
      <c r="M232" t="s">
        <v>2279</v>
      </c>
      <c r="N232" t="s">
        <v>2279</v>
      </c>
      <c r="O232" s="190" t="str">
        <f>"["&amp;$C232&amp;"]["&amp;$D232&amp;"]["&amp;$F232&amp;"]"</f>
        <v>[S05_AggregateTotalEmissionsByCRF][21][CRFCategory2]</v>
      </c>
    </row>
    <row r="233" spans="1:15" x14ac:dyDescent="0.3">
      <c r="A233" t="s">
        <v>2277</v>
      </c>
      <c r="B233" t="s">
        <v>1846</v>
      </c>
      <c r="C233" t="s">
        <v>1849</v>
      </c>
      <c r="D233">
        <v>22</v>
      </c>
      <c r="E233" t="s">
        <v>1447</v>
      </c>
      <c r="F233" t="s">
        <v>1851</v>
      </c>
      <c r="G233" t="s">
        <v>1737</v>
      </c>
      <c r="H233" t="s">
        <v>2279</v>
      </c>
      <c r="I233" t="s">
        <v>2279</v>
      </c>
      <c r="J233" t="s">
        <v>2279</v>
      </c>
      <c r="K233" t="s">
        <v>2279</v>
      </c>
      <c r="L233" t="s">
        <v>1676</v>
      </c>
      <c r="M233" t="s">
        <v>2279</v>
      </c>
      <c r="N233" t="s">
        <v>2279</v>
      </c>
      <c r="O233" s="190" t="str">
        <f>"["&amp;$C233&amp;"]["&amp;$D233&amp;"]["&amp;$F233&amp;"]"</f>
        <v>[S05_AggregateTotalEmissionsByCRF][22][CRFCategory2]</v>
      </c>
    </row>
    <row r="234" spans="1:15" x14ac:dyDescent="0.3">
      <c r="A234" t="s">
        <v>2277</v>
      </c>
      <c r="B234" t="s">
        <v>1846</v>
      </c>
      <c r="C234" t="s">
        <v>1849</v>
      </c>
      <c r="D234">
        <v>24</v>
      </c>
      <c r="E234" t="s">
        <v>1447</v>
      </c>
      <c r="F234" t="s">
        <v>1851</v>
      </c>
      <c r="G234" t="s">
        <v>1737</v>
      </c>
      <c r="H234" t="s">
        <v>2279</v>
      </c>
      <c r="I234" t="s">
        <v>2279</v>
      </c>
      <c r="J234" t="s">
        <v>2279</v>
      </c>
      <c r="K234" t="s">
        <v>2279</v>
      </c>
      <c r="L234" t="s">
        <v>1426</v>
      </c>
      <c r="M234" t="s">
        <v>2279</v>
      </c>
      <c r="N234" t="s">
        <v>2279</v>
      </c>
      <c r="O234" s="190" t="str">
        <f>"["&amp;$C234&amp;"]["&amp;$D234&amp;"]["&amp;$F234&amp;"]"</f>
        <v>[S05_AggregateTotalEmissionsByCRF][24][CRFCategory2]</v>
      </c>
    </row>
    <row r="235" spans="1:15" x14ac:dyDescent="0.3">
      <c r="A235" t="s">
        <v>2277</v>
      </c>
      <c r="B235" t="s">
        <v>1846</v>
      </c>
      <c r="C235" t="s">
        <v>1849</v>
      </c>
      <c r="D235">
        <v>25</v>
      </c>
      <c r="E235" t="s">
        <v>1447</v>
      </c>
      <c r="F235" t="s">
        <v>1851</v>
      </c>
      <c r="G235" t="s">
        <v>1737</v>
      </c>
      <c r="H235" t="s">
        <v>2279</v>
      </c>
      <c r="I235" t="s">
        <v>2279</v>
      </c>
      <c r="J235" t="s">
        <v>2279</v>
      </c>
      <c r="K235" t="s">
        <v>2279</v>
      </c>
      <c r="L235" t="s">
        <v>1454</v>
      </c>
      <c r="M235" t="s">
        <v>2279</v>
      </c>
      <c r="N235" t="s">
        <v>2279</v>
      </c>
      <c r="O235" s="190" t="str">
        <f>"["&amp;$C235&amp;"]["&amp;$D235&amp;"]["&amp;$F235&amp;"]"</f>
        <v>[S05_AggregateTotalEmissionsByCRF][25][CRFCategory2]</v>
      </c>
    </row>
    <row r="236" spans="1:15" x14ac:dyDescent="0.3">
      <c r="A236" t="s">
        <v>2277</v>
      </c>
      <c r="B236" t="s">
        <v>1846</v>
      </c>
      <c r="C236" t="s">
        <v>1849</v>
      </c>
      <c r="D236">
        <v>26</v>
      </c>
      <c r="E236" t="s">
        <v>1447</v>
      </c>
      <c r="F236" t="s">
        <v>1851</v>
      </c>
      <c r="G236" t="s">
        <v>1737</v>
      </c>
      <c r="H236" t="s">
        <v>2279</v>
      </c>
      <c r="I236" t="s">
        <v>2279</v>
      </c>
      <c r="J236" t="s">
        <v>2279</v>
      </c>
      <c r="K236" t="s">
        <v>2279</v>
      </c>
      <c r="L236" t="s">
        <v>1482</v>
      </c>
      <c r="M236" t="s">
        <v>2279</v>
      </c>
      <c r="N236" t="s">
        <v>2279</v>
      </c>
      <c r="O236" s="190" t="str">
        <f>"["&amp;$C236&amp;"]["&amp;$D236&amp;"]["&amp;$F236&amp;"]"</f>
        <v>[S05_AggregateTotalEmissionsByCRF][26][CRFCategory2]</v>
      </c>
    </row>
    <row r="237" spans="1:15" x14ac:dyDescent="0.3">
      <c r="A237" t="s">
        <v>2277</v>
      </c>
      <c r="B237" t="s">
        <v>1846</v>
      </c>
      <c r="C237" t="s">
        <v>1849</v>
      </c>
      <c r="D237">
        <v>27</v>
      </c>
      <c r="E237" t="s">
        <v>1447</v>
      </c>
      <c r="F237" t="s">
        <v>1851</v>
      </c>
      <c r="G237" t="s">
        <v>1737</v>
      </c>
      <c r="H237" t="s">
        <v>2279</v>
      </c>
      <c r="I237" t="s">
        <v>2279</v>
      </c>
      <c r="J237" t="s">
        <v>2279</v>
      </c>
      <c r="K237" t="s">
        <v>2279</v>
      </c>
      <c r="L237" t="s">
        <v>1504</v>
      </c>
      <c r="M237" t="s">
        <v>2279</v>
      </c>
      <c r="N237" t="s">
        <v>2279</v>
      </c>
      <c r="O237" s="190" t="str">
        <f>"["&amp;$C237&amp;"]["&amp;$D237&amp;"]["&amp;$F237&amp;"]"</f>
        <v>[S05_AggregateTotalEmissionsByCRF][27][CRFCategory2]</v>
      </c>
    </row>
    <row r="238" spans="1:15" x14ac:dyDescent="0.3">
      <c r="A238" t="s">
        <v>2277</v>
      </c>
      <c r="B238" t="s">
        <v>1846</v>
      </c>
      <c r="C238" t="s">
        <v>1849</v>
      </c>
      <c r="D238">
        <v>29</v>
      </c>
      <c r="E238" t="s">
        <v>1447</v>
      </c>
      <c r="F238" t="s">
        <v>1851</v>
      </c>
      <c r="G238" t="s">
        <v>1737</v>
      </c>
      <c r="H238" t="s">
        <v>2279</v>
      </c>
      <c r="I238" t="s">
        <v>2279</v>
      </c>
      <c r="J238" t="s">
        <v>2279</v>
      </c>
      <c r="K238" t="s">
        <v>2279</v>
      </c>
      <c r="L238" t="s">
        <v>1454</v>
      </c>
      <c r="M238" t="s">
        <v>2279</v>
      </c>
      <c r="N238" t="s">
        <v>2279</v>
      </c>
      <c r="O238" s="190" t="str">
        <f>"["&amp;$C238&amp;"]["&amp;$D238&amp;"]["&amp;$F238&amp;"]"</f>
        <v>[S05_AggregateTotalEmissionsByCRF][29][CRFCategory2]</v>
      </c>
    </row>
    <row r="239" spans="1:15" x14ac:dyDescent="0.3">
      <c r="A239" t="s">
        <v>2277</v>
      </c>
      <c r="B239" t="s">
        <v>1846</v>
      </c>
      <c r="C239" t="s">
        <v>1849</v>
      </c>
      <c r="D239">
        <v>30</v>
      </c>
      <c r="E239" t="s">
        <v>1447</v>
      </c>
      <c r="F239" t="s">
        <v>1851</v>
      </c>
      <c r="G239" t="s">
        <v>1737</v>
      </c>
      <c r="H239" t="s">
        <v>2279</v>
      </c>
      <c r="I239" t="s">
        <v>2279</v>
      </c>
      <c r="J239" t="s">
        <v>2279</v>
      </c>
      <c r="K239" t="s">
        <v>2279</v>
      </c>
      <c r="L239" t="s">
        <v>1482</v>
      </c>
      <c r="M239" t="s">
        <v>2279</v>
      </c>
      <c r="N239" t="s">
        <v>2279</v>
      </c>
      <c r="O239" s="190" t="str">
        <f>"["&amp;$C239&amp;"]["&amp;$D239&amp;"]["&amp;$F239&amp;"]"</f>
        <v>[S05_AggregateTotalEmissionsByCRF][30][CRFCategory2]</v>
      </c>
    </row>
    <row r="240" spans="1:15" x14ac:dyDescent="0.3">
      <c r="A240" t="s">
        <v>2277</v>
      </c>
      <c r="B240" t="s">
        <v>1846</v>
      </c>
      <c r="C240" t="s">
        <v>1849</v>
      </c>
      <c r="D240">
        <v>31</v>
      </c>
      <c r="E240" t="s">
        <v>1447</v>
      </c>
      <c r="F240" t="s">
        <v>1851</v>
      </c>
      <c r="G240" t="s">
        <v>1737</v>
      </c>
      <c r="H240" t="s">
        <v>2279</v>
      </c>
      <c r="I240" t="s">
        <v>2279</v>
      </c>
      <c r="J240" t="s">
        <v>2279</v>
      </c>
      <c r="K240" t="s">
        <v>2279</v>
      </c>
      <c r="L240" t="s">
        <v>1584</v>
      </c>
      <c r="M240" t="s">
        <v>2279</v>
      </c>
      <c r="N240" t="s">
        <v>2279</v>
      </c>
      <c r="O240" s="190" t="str">
        <f>"["&amp;$C240&amp;"]["&amp;$D240&amp;"]["&amp;$F240&amp;"]"</f>
        <v>[S05_AggregateTotalEmissionsByCRF][31][CRFCategory2]</v>
      </c>
    </row>
    <row r="241" spans="1:15" x14ac:dyDescent="0.3">
      <c r="A241" t="s">
        <v>2277</v>
      </c>
      <c r="B241" t="s">
        <v>1846</v>
      </c>
      <c r="C241" t="s">
        <v>1849</v>
      </c>
      <c r="D241">
        <v>35</v>
      </c>
      <c r="E241" t="s">
        <v>1447</v>
      </c>
      <c r="F241" t="s">
        <v>1851</v>
      </c>
      <c r="G241" t="s">
        <v>1737</v>
      </c>
      <c r="H241" t="s">
        <v>2279</v>
      </c>
      <c r="I241" t="s">
        <v>2279</v>
      </c>
      <c r="J241" t="s">
        <v>2279</v>
      </c>
      <c r="K241" t="s">
        <v>2279</v>
      </c>
      <c r="L241" t="s">
        <v>1482</v>
      </c>
      <c r="M241" t="s">
        <v>2279</v>
      </c>
      <c r="N241" t="s">
        <v>2279</v>
      </c>
      <c r="O241" s="190" t="str">
        <f>"["&amp;$C241&amp;"]["&amp;$D241&amp;"]["&amp;$F241&amp;"]"</f>
        <v>[S05_AggregateTotalEmissionsByCRF][35][CRFCategory2]</v>
      </c>
    </row>
    <row r="242" spans="1:15" x14ac:dyDescent="0.3">
      <c r="A242" t="s">
        <v>2277</v>
      </c>
      <c r="B242" t="s">
        <v>1846</v>
      </c>
      <c r="C242" t="s">
        <v>1849</v>
      </c>
      <c r="D242">
        <v>37</v>
      </c>
      <c r="E242" t="s">
        <v>1447</v>
      </c>
      <c r="F242" t="s">
        <v>1851</v>
      </c>
      <c r="G242" t="s">
        <v>1737</v>
      </c>
      <c r="H242" t="s">
        <v>2279</v>
      </c>
      <c r="I242" t="s">
        <v>2279</v>
      </c>
      <c r="J242" t="s">
        <v>2279</v>
      </c>
      <c r="K242" t="s">
        <v>2279</v>
      </c>
      <c r="L242" t="s">
        <v>1504</v>
      </c>
      <c r="M242" t="s">
        <v>2279</v>
      </c>
      <c r="N242" t="s">
        <v>2279</v>
      </c>
      <c r="O242" s="190" t="str">
        <f>"["&amp;$C242&amp;"]["&amp;$D242&amp;"]["&amp;$F242&amp;"]"</f>
        <v>[S05_AggregateTotalEmissionsByCRF][37][CRFCategory2]</v>
      </c>
    </row>
    <row r="243" spans="1:15" x14ac:dyDescent="0.3">
      <c r="A243" t="s">
        <v>2277</v>
      </c>
      <c r="B243" t="s">
        <v>1846</v>
      </c>
      <c r="C243" t="s">
        <v>1849</v>
      </c>
      <c r="D243">
        <v>38</v>
      </c>
      <c r="E243" t="s">
        <v>1447</v>
      </c>
      <c r="F243" t="s">
        <v>1851</v>
      </c>
      <c r="G243" t="s">
        <v>1737</v>
      </c>
      <c r="H243" t="s">
        <v>2279</v>
      </c>
      <c r="I243" t="s">
        <v>2279</v>
      </c>
      <c r="J243" t="s">
        <v>2279</v>
      </c>
      <c r="K243" t="s">
        <v>2279</v>
      </c>
      <c r="L243" t="s">
        <v>1584</v>
      </c>
      <c r="M243" t="s">
        <v>2279</v>
      </c>
      <c r="N243" t="s">
        <v>2279</v>
      </c>
      <c r="O243" s="190" t="str">
        <f>"["&amp;$C243&amp;"]["&amp;$D243&amp;"]["&amp;$F243&amp;"]"</f>
        <v>[S05_AggregateTotalEmissionsByCRF][38][CRFCategory2]</v>
      </c>
    </row>
    <row r="244" spans="1:15" x14ac:dyDescent="0.3">
      <c r="A244" t="s">
        <v>2277</v>
      </c>
      <c r="B244" t="s">
        <v>1846</v>
      </c>
      <c r="C244" t="s">
        <v>1849</v>
      </c>
      <c r="D244">
        <v>39</v>
      </c>
      <c r="E244" t="s">
        <v>1447</v>
      </c>
      <c r="F244" t="s">
        <v>1851</v>
      </c>
      <c r="G244" t="s">
        <v>1737</v>
      </c>
      <c r="H244" t="s">
        <v>2279</v>
      </c>
      <c r="I244" t="s">
        <v>2279</v>
      </c>
      <c r="J244" t="s">
        <v>2279</v>
      </c>
      <c r="K244" t="s">
        <v>2279</v>
      </c>
      <c r="L244" t="s">
        <v>1482</v>
      </c>
      <c r="M244" t="s">
        <v>2279</v>
      </c>
      <c r="N244" t="s">
        <v>2279</v>
      </c>
      <c r="O244" s="190" t="str">
        <f>"["&amp;$C244&amp;"]["&amp;$D244&amp;"]["&amp;$F244&amp;"]"</f>
        <v>[S05_AggregateTotalEmissionsByCRF][39][CRFCategory2]</v>
      </c>
    </row>
    <row r="245" spans="1:15" x14ac:dyDescent="0.3">
      <c r="A245" t="s">
        <v>2277</v>
      </c>
      <c r="B245" t="s">
        <v>1846</v>
      </c>
      <c r="C245" t="s">
        <v>1849</v>
      </c>
      <c r="D245">
        <v>40</v>
      </c>
      <c r="E245" t="s">
        <v>1447</v>
      </c>
      <c r="F245" t="s">
        <v>1851</v>
      </c>
      <c r="G245" t="s">
        <v>1737</v>
      </c>
      <c r="H245" t="s">
        <v>2279</v>
      </c>
      <c r="I245" t="s">
        <v>2279</v>
      </c>
      <c r="J245" t="s">
        <v>2279</v>
      </c>
      <c r="K245" t="s">
        <v>2279</v>
      </c>
      <c r="L245" t="s">
        <v>1504</v>
      </c>
      <c r="M245" t="s">
        <v>2279</v>
      </c>
      <c r="N245" t="s">
        <v>2279</v>
      </c>
      <c r="O245" s="190" t="str">
        <f>"["&amp;$C245&amp;"]["&amp;$D245&amp;"]["&amp;$F245&amp;"]"</f>
        <v>[S05_AggregateTotalEmissionsByCRF][40][CRFCategory2]</v>
      </c>
    </row>
    <row r="246" spans="1:15" x14ac:dyDescent="0.3">
      <c r="A246" t="s">
        <v>2277</v>
      </c>
      <c r="B246" t="s">
        <v>1846</v>
      </c>
      <c r="C246" t="s">
        <v>1849</v>
      </c>
      <c r="D246">
        <v>41</v>
      </c>
      <c r="E246" t="s">
        <v>1447</v>
      </c>
      <c r="F246" t="s">
        <v>1851</v>
      </c>
      <c r="G246" t="s">
        <v>1737</v>
      </c>
      <c r="H246" t="s">
        <v>2279</v>
      </c>
      <c r="I246" t="s">
        <v>2279</v>
      </c>
      <c r="J246" t="s">
        <v>2279</v>
      </c>
      <c r="K246" t="s">
        <v>2279</v>
      </c>
      <c r="L246" t="s">
        <v>1589</v>
      </c>
      <c r="M246" t="s">
        <v>2279</v>
      </c>
      <c r="N246" t="s">
        <v>2279</v>
      </c>
      <c r="O246" s="190" t="str">
        <f>"["&amp;$C246&amp;"]["&amp;$D246&amp;"]["&amp;$F246&amp;"]"</f>
        <v>[S05_AggregateTotalEmissionsByCRF][41][CRFCategory2]</v>
      </c>
    </row>
    <row r="247" spans="1:15" x14ac:dyDescent="0.3">
      <c r="A247" t="s">
        <v>2277</v>
      </c>
      <c r="B247" t="s">
        <v>1846</v>
      </c>
      <c r="C247" t="s">
        <v>1849</v>
      </c>
      <c r="D247">
        <v>42</v>
      </c>
      <c r="E247" t="s">
        <v>1447</v>
      </c>
      <c r="F247" t="s">
        <v>1851</v>
      </c>
      <c r="G247" t="s">
        <v>1737</v>
      </c>
      <c r="H247" t="s">
        <v>2279</v>
      </c>
      <c r="I247" t="s">
        <v>2279</v>
      </c>
      <c r="J247" t="s">
        <v>2279</v>
      </c>
      <c r="K247" t="s">
        <v>2279</v>
      </c>
      <c r="L247" t="s">
        <v>1674</v>
      </c>
      <c r="M247" t="s">
        <v>2279</v>
      </c>
      <c r="N247" t="s">
        <v>2279</v>
      </c>
      <c r="O247" s="190" t="str">
        <f>"["&amp;$C247&amp;"]["&amp;$D247&amp;"]["&amp;$F247&amp;"]"</f>
        <v>[S05_AggregateTotalEmissionsByCRF][42][CRFCategory2]</v>
      </c>
    </row>
    <row r="248" spans="1:15" x14ac:dyDescent="0.3">
      <c r="A248" t="s">
        <v>2277</v>
      </c>
      <c r="B248" t="s">
        <v>1846</v>
      </c>
      <c r="C248" t="s">
        <v>1849</v>
      </c>
      <c r="D248">
        <v>1</v>
      </c>
      <c r="E248" t="s">
        <v>1447</v>
      </c>
      <c r="F248" t="s">
        <v>1852</v>
      </c>
      <c r="G248" t="s">
        <v>1806</v>
      </c>
      <c r="H248" t="s">
        <v>2279</v>
      </c>
      <c r="I248" t="s">
        <v>2279</v>
      </c>
      <c r="J248">
        <v>30528202.064893901</v>
      </c>
      <c r="K248" t="s">
        <v>2279</v>
      </c>
      <c r="L248" t="s">
        <v>2279</v>
      </c>
      <c r="M248" t="s">
        <v>2279</v>
      </c>
      <c r="N248" t="s">
        <v>2279</v>
      </c>
      <c r="O248" s="190" t="str">
        <f>"["&amp;$C248&amp;"]["&amp;$D248&amp;"]["&amp;$F248&amp;"]"</f>
        <v>[S05_AggregateTotalEmissionsByCRF][1][TotalEmissionsTCo2e]</v>
      </c>
    </row>
    <row r="249" spans="1:15" x14ac:dyDescent="0.3">
      <c r="A249" t="s">
        <v>2277</v>
      </c>
      <c r="B249" t="s">
        <v>1846</v>
      </c>
      <c r="C249" t="s">
        <v>1849</v>
      </c>
      <c r="D249">
        <v>2</v>
      </c>
      <c r="E249" t="s">
        <v>1447</v>
      </c>
      <c r="F249" t="s">
        <v>1852</v>
      </c>
      <c r="G249" t="s">
        <v>1806</v>
      </c>
      <c r="H249" t="s">
        <v>2279</v>
      </c>
      <c r="I249" t="s">
        <v>2279</v>
      </c>
      <c r="J249">
        <v>6918711.0713342195</v>
      </c>
      <c r="K249" t="s">
        <v>2279</v>
      </c>
      <c r="L249" t="s">
        <v>2279</v>
      </c>
      <c r="M249" t="s">
        <v>2279</v>
      </c>
      <c r="N249" t="s">
        <v>2279</v>
      </c>
      <c r="O249" s="190" t="str">
        <f>"["&amp;$C249&amp;"]["&amp;$D249&amp;"]["&amp;$F249&amp;"]"</f>
        <v>[S05_AggregateTotalEmissionsByCRF][2][TotalEmissionsTCo2e]</v>
      </c>
    </row>
    <row r="250" spans="1:15" x14ac:dyDescent="0.3">
      <c r="A250" t="s">
        <v>2277</v>
      </c>
      <c r="B250" t="s">
        <v>1846</v>
      </c>
      <c r="C250" t="s">
        <v>1849</v>
      </c>
      <c r="D250">
        <v>3</v>
      </c>
      <c r="E250" t="s">
        <v>1447</v>
      </c>
      <c r="F250" t="s">
        <v>1852</v>
      </c>
      <c r="G250" t="s">
        <v>1806</v>
      </c>
      <c r="H250" t="s">
        <v>2279</v>
      </c>
      <c r="I250" t="s">
        <v>2279</v>
      </c>
      <c r="J250">
        <v>848958.169629385</v>
      </c>
      <c r="K250" t="s">
        <v>2279</v>
      </c>
      <c r="L250" t="s">
        <v>2279</v>
      </c>
      <c r="M250" t="s">
        <v>2279</v>
      </c>
      <c r="N250" t="s">
        <v>2279</v>
      </c>
      <c r="O250" s="190" t="str">
        <f>"["&amp;$C250&amp;"]["&amp;$D250&amp;"]["&amp;$F250&amp;"]"</f>
        <v>[S05_AggregateTotalEmissionsByCRF][3][TotalEmissionsTCo2e]</v>
      </c>
    </row>
    <row r="251" spans="1:15" x14ac:dyDescent="0.3">
      <c r="A251" t="s">
        <v>2277</v>
      </c>
      <c r="B251" t="s">
        <v>1846</v>
      </c>
      <c r="C251" t="s">
        <v>1849</v>
      </c>
      <c r="D251">
        <v>4</v>
      </c>
      <c r="E251" t="s">
        <v>1447</v>
      </c>
      <c r="F251" t="s">
        <v>1852</v>
      </c>
      <c r="G251" t="s">
        <v>1806</v>
      </c>
      <c r="H251" t="s">
        <v>2279</v>
      </c>
      <c r="I251" t="s">
        <v>2279</v>
      </c>
      <c r="J251">
        <v>80116.422840154904</v>
      </c>
      <c r="K251" t="s">
        <v>2279</v>
      </c>
      <c r="L251" t="s">
        <v>2279</v>
      </c>
      <c r="M251" t="s">
        <v>2279</v>
      </c>
      <c r="N251" t="s">
        <v>2279</v>
      </c>
      <c r="O251" s="190" t="str">
        <f>"["&amp;$C251&amp;"]["&amp;$D251&amp;"]["&amp;$F251&amp;"]"</f>
        <v>[S05_AggregateTotalEmissionsByCRF][4][TotalEmissionsTCo2e]</v>
      </c>
    </row>
    <row r="252" spans="1:15" x14ac:dyDescent="0.3">
      <c r="A252" t="s">
        <v>2277</v>
      </c>
      <c r="B252" t="s">
        <v>1846</v>
      </c>
      <c r="C252" t="s">
        <v>1849</v>
      </c>
      <c r="D252">
        <v>5</v>
      </c>
      <c r="E252" t="s">
        <v>1447</v>
      </c>
      <c r="F252" t="s">
        <v>1852</v>
      </c>
      <c r="G252" t="s">
        <v>1806</v>
      </c>
      <c r="H252" t="s">
        <v>2279</v>
      </c>
      <c r="I252" t="s">
        <v>2279</v>
      </c>
      <c r="J252">
        <v>0</v>
      </c>
      <c r="K252" t="s">
        <v>2279</v>
      </c>
      <c r="L252" t="s">
        <v>2279</v>
      </c>
      <c r="M252" t="s">
        <v>2279</v>
      </c>
      <c r="N252" t="s">
        <v>2279</v>
      </c>
      <c r="O252" s="190" t="str">
        <f>"["&amp;$C252&amp;"]["&amp;$D252&amp;"]["&amp;$F252&amp;"]"</f>
        <v>[S05_AggregateTotalEmissionsByCRF][5][TotalEmissionsTCo2e]</v>
      </c>
    </row>
    <row r="253" spans="1:15" x14ac:dyDescent="0.3">
      <c r="A253" t="s">
        <v>2277</v>
      </c>
      <c r="B253" t="s">
        <v>1846</v>
      </c>
      <c r="C253" t="s">
        <v>1849</v>
      </c>
      <c r="D253">
        <v>6</v>
      </c>
      <c r="E253" t="s">
        <v>1447</v>
      </c>
      <c r="F253" t="s">
        <v>1852</v>
      </c>
      <c r="G253" t="s">
        <v>1806</v>
      </c>
      <c r="H253" t="s">
        <v>2279</v>
      </c>
      <c r="I253" t="s">
        <v>2279</v>
      </c>
      <c r="J253">
        <v>456.22690160594999</v>
      </c>
      <c r="K253" t="s">
        <v>2279</v>
      </c>
      <c r="L253" t="s">
        <v>2279</v>
      </c>
      <c r="M253" t="s">
        <v>2279</v>
      </c>
      <c r="N253" t="s">
        <v>2279</v>
      </c>
      <c r="O253" s="190" t="str">
        <f>"["&amp;$C253&amp;"]["&amp;$D253&amp;"]["&amp;$F253&amp;"]"</f>
        <v>[S05_AggregateTotalEmissionsByCRF][6][TotalEmissionsTCo2e]</v>
      </c>
    </row>
    <row r="254" spans="1:15" x14ac:dyDescent="0.3">
      <c r="A254" t="s">
        <v>2277</v>
      </c>
      <c r="B254" t="s">
        <v>1846</v>
      </c>
      <c r="C254" t="s">
        <v>1849</v>
      </c>
      <c r="D254">
        <v>7</v>
      </c>
      <c r="E254" t="s">
        <v>1447</v>
      </c>
      <c r="F254" t="s">
        <v>1852</v>
      </c>
      <c r="G254" t="s">
        <v>1806</v>
      </c>
      <c r="H254" t="s">
        <v>2279</v>
      </c>
      <c r="I254" t="s">
        <v>2279</v>
      </c>
      <c r="J254">
        <v>957662.33025258</v>
      </c>
      <c r="K254" t="s">
        <v>2279</v>
      </c>
      <c r="L254" t="s">
        <v>2279</v>
      </c>
      <c r="M254" t="s">
        <v>2279</v>
      </c>
      <c r="N254" t="s">
        <v>2279</v>
      </c>
      <c r="O254" s="190" t="str">
        <f>"["&amp;$C254&amp;"]["&amp;$D254&amp;"]["&amp;$F254&amp;"]"</f>
        <v>[S05_AggregateTotalEmissionsByCRF][7][TotalEmissionsTCo2e]</v>
      </c>
    </row>
    <row r="255" spans="1:15" x14ac:dyDescent="0.3">
      <c r="A255" t="s">
        <v>2277</v>
      </c>
      <c r="B255" t="s">
        <v>1846</v>
      </c>
      <c r="C255" t="s">
        <v>1849</v>
      </c>
      <c r="D255">
        <v>8</v>
      </c>
      <c r="E255" t="s">
        <v>1447</v>
      </c>
      <c r="F255" t="s">
        <v>1852</v>
      </c>
      <c r="G255" t="s">
        <v>1806</v>
      </c>
      <c r="H255" t="s">
        <v>2279</v>
      </c>
      <c r="I255" t="s">
        <v>2279</v>
      </c>
      <c r="J255">
        <v>2165978.3754739398</v>
      </c>
      <c r="K255" t="s">
        <v>2279</v>
      </c>
      <c r="L255" t="s">
        <v>2279</v>
      </c>
      <c r="M255" t="s">
        <v>2279</v>
      </c>
      <c r="N255" t="s">
        <v>2279</v>
      </c>
      <c r="O255" s="190" t="str">
        <f>"["&amp;$C255&amp;"]["&amp;$D255&amp;"]["&amp;$F255&amp;"]"</f>
        <v>[S05_AggregateTotalEmissionsByCRF][8][TotalEmissionsTCo2e]</v>
      </c>
    </row>
    <row r="256" spans="1:15" x14ac:dyDescent="0.3">
      <c r="A256" t="s">
        <v>2277</v>
      </c>
      <c r="B256" t="s">
        <v>1846</v>
      </c>
      <c r="C256" t="s">
        <v>1849</v>
      </c>
      <c r="D256">
        <v>9</v>
      </c>
      <c r="E256" t="s">
        <v>1447</v>
      </c>
      <c r="F256" t="s">
        <v>1852</v>
      </c>
      <c r="G256" t="s">
        <v>1806</v>
      </c>
      <c r="H256" t="s">
        <v>2279</v>
      </c>
      <c r="I256" t="s">
        <v>2279</v>
      </c>
      <c r="J256">
        <v>189225.61258550099</v>
      </c>
      <c r="K256" t="s">
        <v>2279</v>
      </c>
      <c r="L256" t="s">
        <v>2279</v>
      </c>
      <c r="M256" t="s">
        <v>2279</v>
      </c>
      <c r="N256" t="s">
        <v>2279</v>
      </c>
      <c r="O256" s="190" t="str">
        <f>"["&amp;$C256&amp;"]["&amp;$D256&amp;"]["&amp;$F256&amp;"]"</f>
        <v>[S05_AggregateTotalEmissionsByCRF][9][TotalEmissionsTCo2e]</v>
      </c>
    </row>
    <row r="257" spans="1:15" x14ac:dyDescent="0.3">
      <c r="A257" t="s">
        <v>2277</v>
      </c>
      <c r="B257" t="s">
        <v>1846</v>
      </c>
      <c r="C257" t="s">
        <v>1849</v>
      </c>
      <c r="D257">
        <v>10</v>
      </c>
      <c r="E257" t="s">
        <v>1447</v>
      </c>
      <c r="F257" t="s">
        <v>1852</v>
      </c>
      <c r="G257" t="s">
        <v>1806</v>
      </c>
      <c r="H257" t="s">
        <v>2279</v>
      </c>
      <c r="I257" t="s">
        <v>2279</v>
      </c>
      <c r="J257">
        <v>3104209.5127004399</v>
      </c>
      <c r="K257" t="s">
        <v>2279</v>
      </c>
      <c r="L257" t="s">
        <v>2279</v>
      </c>
      <c r="M257" t="s">
        <v>2279</v>
      </c>
      <c r="N257" t="s">
        <v>2279</v>
      </c>
      <c r="O257" s="190" t="str">
        <f>"["&amp;$C257&amp;"]["&amp;$D257&amp;"]["&amp;$F257&amp;"]"</f>
        <v>[S05_AggregateTotalEmissionsByCRF][10][TotalEmissionsTCo2e]</v>
      </c>
    </row>
    <row r="258" spans="1:15" x14ac:dyDescent="0.3">
      <c r="A258" t="s">
        <v>2277</v>
      </c>
      <c r="B258" t="s">
        <v>1846</v>
      </c>
      <c r="C258" t="s">
        <v>1849</v>
      </c>
      <c r="D258">
        <v>11</v>
      </c>
      <c r="E258" t="s">
        <v>1447</v>
      </c>
      <c r="F258" t="s">
        <v>1852</v>
      </c>
      <c r="G258" t="s">
        <v>1806</v>
      </c>
      <c r="H258" t="s">
        <v>2279</v>
      </c>
      <c r="I258" t="s">
        <v>2279</v>
      </c>
      <c r="J258">
        <v>25174.793568767502</v>
      </c>
      <c r="K258" t="s">
        <v>2279</v>
      </c>
      <c r="L258" t="s">
        <v>2279</v>
      </c>
      <c r="M258" t="s">
        <v>2279</v>
      </c>
      <c r="N258" t="s">
        <v>2279</v>
      </c>
      <c r="O258" s="190" t="str">
        <f>"["&amp;$C258&amp;"]["&amp;$D258&amp;"]["&amp;$F258&amp;"]"</f>
        <v>[S05_AggregateTotalEmissionsByCRF][11][TotalEmissionsTCo2e]</v>
      </c>
    </row>
    <row r="259" spans="1:15" x14ac:dyDescent="0.3">
      <c r="A259" t="s">
        <v>2277</v>
      </c>
      <c r="B259" t="s">
        <v>1846</v>
      </c>
      <c r="C259" t="s">
        <v>1849</v>
      </c>
      <c r="D259">
        <v>12</v>
      </c>
      <c r="E259" t="s">
        <v>1447</v>
      </c>
      <c r="F259" t="s">
        <v>1852</v>
      </c>
      <c r="G259" t="s">
        <v>1806</v>
      </c>
      <c r="H259" t="s">
        <v>2279</v>
      </c>
      <c r="I259" t="s">
        <v>2279</v>
      </c>
      <c r="J259">
        <v>24130.748420726501</v>
      </c>
      <c r="K259" t="s">
        <v>2279</v>
      </c>
      <c r="L259" t="s">
        <v>2279</v>
      </c>
      <c r="M259" t="s">
        <v>2279</v>
      </c>
      <c r="N259" t="s">
        <v>2279</v>
      </c>
      <c r="O259" s="190" t="str">
        <f>"["&amp;$C259&amp;"]["&amp;$D259&amp;"]["&amp;$F259&amp;"]"</f>
        <v>[S05_AggregateTotalEmissionsByCRF][12][TotalEmissionsTCo2e]</v>
      </c>
    </row>
    <row r="260" spans="1:15" x14ac:dyDescent="0.3">
      <c r="A260" t="s">
        <v>2277</v>
      </c>
      <c r="B260" t="s">
        <v>1846</v>
      </c>
      <c r="C260" t="s">
        <v>1849</v>
      </c>
      <c r="D260">
        <v>13</v>
      </c>
      <c r="E260" t="s">
        <v>1447</v>
      </c>
      <c r="F260" t="s">
        <v>1852</v>
      </c>
      <c r="G260" t="s">
        <v>1806</v>
      </c>
      <c r="H260" t="s">
        <v>2279</v>
      </c>
      <c r="I260" t="s">
        <v>2279</v>
      </c>
      <c r="J260">
        <v>47912.892409619999</v>
      </c>
      <c r="K260" t="s">
        <v>2279</v>
      </c>
      <c r="L260" t="s">
        <v>2279</v>
      </c>
      <c r="M260" t="s">
        <v>2279</v>
      </c>
      <c r="N260" t="s">
        <v>2279</v>
      </c>
      <c r="O260" s="190" t="str">
        <f>"["&amp;$C260&amp;"]["&amp;$D260&amp;"]["&amp;$F260&amp;"]"</f>
        <v>[S05_AggregateTotalEmissionsByCRF][13][TotalEmissionsTCo2e]</v>
      </c>
    </row>
    <row r="261" spans="1:15" x14ac:dyDescent="0.3">
      <c r="A261" t="s">
        <v>2277</v>
      </c>
      <c r="B261" t="s">
        <v>1846</v>
      </c>
      <c r="C261" t="s">
        <v>1849</v>
      </c>
      <c r="D261">
        <v>14</v>
      </c>
      <c r="E261" t="s">
        <v>1447</v>
      </c>
      <c r="F261" t="s">
        <v>1852</v>
      </c>
      <c r="G261" t="s">
        <v>1806</v>
      </c>
      <c r="H261" t="s">
        <v>2279</v>
      </c>
      <c r="I261" t="s">
        <v>2279</v>
      </c>
      <c r="J261">
        <v>838445.38103801699</v>
      </c>
      <c r="K261" t="s">
        <v>2279</v>
      </c>
      <c r="L261" t="s">
        <v>2279</v>
      </c>
      <c r="M261" t="s">
        <v>2279</v>
      </c>
      <c r="N261" t="s">
        <v>2279</v>
      </c>
      <c r="O261" s="190" t="str">
        <f>"["&amp;$C261&amp;"]["&amp;$D261&amp;"]["&amp;$F261&amp;"]"</f>
        <v>[S05_AggregateTotalEmissionsByCRF][14][TotalEmissionsTCo2e]</v>
      </c>
    </row>
    <row r="262" spans="1:15" x14ac:dyDescent="0.3">
      <c r="A262" t="s">
        <v>2277</v>
      </c>
      <c r="B262" t="s">
        <v>1846</v>
      </c>
      <c r="C262" t="s">
        <v>1849</v>
      </c>
      <c r="D262">
        <v>15</v>
      </c>
      <c r="E262" t="s">
        <v>1447</v>
      </c>
      <c r="F262" t="s">
        <v>1852</v>
      </c>
      <c r="G262" t="s">
        <v>1806</v>
      </c>
      <c r="H262" t="s">
        <v>2279</v>
      </c>
      <c r="I262" t="s">
        <v>2279</v>
      </c>
      <c r="J262">
        <v>704957.45151092799</v>
      </c>
      <c r="K262" t="s">
        <v>2279</v>
      </c>
      <c r="L262" t="s">
        <v>2279</v>
      </c>
      <c r="M262" t="s">
        <v>2279</v>
      </c>
      <c r="N262" t="s">
        <v>2279</v>
      </c>
      <c r="O262" s="190" t="str">
        <f>"["&amp;$C262&amp;"]["&amp;$D262&amp;"]["&amp;$F262&amp;"]"</f>
        <v>[S05_AggregateTotalEmissionsByCRF][15][TotalEmissionsTCo2e]</v>
      </c>
    </row>
    <row r="263" spans="1:15" x14ac:dyDescent="0.3">
      <c r="A263" t="s">
        <v>2277</v>
      </c>
      <c r="B263" t="s">
        <v>1846</v>
      </c>
      <c r="C263" t="s">
        <v>1849</v>
      </c>
      <c r="D263">
        <v>16</v>
      </c>
      <c r="E263" t="s">
        <v>1447</v>
      </c>
      <c r="F263" t="s">
        <v>1852</v>
      </c>
      <c r="G263" t="s">
        <v>1806</v>
      </c>
      <c r="H263" t="s">
        <v>2279</v>
      </c>
      <c r="I263" t="s">
        <v>2279</v>
      </c>
      <c r="J263">
        <v>94853.992469706995</v>
      </c>
      <c r="K263" t="s">
        <v>2279</v>
      </c>
      <c r="L263" t="s">
        <v>2279</v>
      </c>
      <c r="M263" t="s">
        <v>2279</v>
      </c>
      <c r="N263" t="s">
        <v>2279</v>
      </c>
      <c r="O263" s="190" t="str">
        <f>"["&amp;$C263&amp;"]["&amp;$D263&amp;"]["&amp;$F263&amp;"]"</f>
        <v>[S05_AggregateTotalEmissionsByCRF][16][TotalEmissionsTCo2e]</v>
      </c>
    </row>
    <row r="264" spans="1:15" x14ac:dyDescent="0.3">
      <c r="A264" t="s">
        <v>2277</v>
      </c>
      <c r="B264" t="s">
        <v>1846</v>
      </c>
      <c r="C264" t="s">
        <v>1849</v>
      </c>
      <c r="D264">
        <v>17</v>
      </c>
      <c r="E264" t="s">
        <v>1447</v>
      </c>
      <c r="F264" t="s">
        <v>1852</v>
      </c>
      <c r="G264" t="s">
        <v>1806</v>
      </c>
      <c r="H264" t="s">
        <v>2279</v>
      </c>
      <c r="I264" t="s">
        <v>2279</v>
      </c>
      <c r="J264">
        <v>2641044.76036361</v>
      </c>
      <c r="K264" t="s">
        <v>2279</v>
      </c>
      <c r="L264" t="s">
        <v>2279</v>
      </c>
      <c r="M264" t="s">
        <v>2279</v>
      </c>
      <c r="N264" t="s">
        <v>2279</v>
      </c>
      <c r="O264" s="190" t="str">
        <f>"["&amp;$C264&amp;"]["&amp;$D264&amp;"]["&amp;$F264&amp;"]"</f>
        <v>[S05_AggregateTotalEmissionsByCRF][17][TotalEmissionsTCo2e]</v>
      </c>
    </row>
    <row r="265" spans="1:15" x14ac:dyDescent="0.3">
      <c r="A265" t="s">
        <v>2277</v>
      </c>
      <c r="B265" t="s">
        <v>1846</v>
      </c>
      <c r="C265" t="s">
        <v>1849</v>
      </c>
      <c r="D265">
        <v>18</v>
      </c>
      <c r="E265" t="s">
        <v>1447</v>
      </c>
      <c r="F265" t="s">
        <v>1852</v>
      </c>
      <c r="G265" t="s">
        <v>1806</v>
      </c>
      <c r="H265" t="s">
        <v>2279</v>
      </c>
      <c r="I265" t="s">
        <v>2279</v>
      </c>
      <c r="J265">
        <v>87250.591608641596</v>
      </c>
      <c r="K265" t="s">
        <v>2279</v>
      </c>
      <c r="L265" t="s">
        <v>2279</v>
      </c>
      <c r="M265" t="s">
        <v>2279</v>
      </c>
      <c r="N265" t="s">
        <v>2279</v>
      </c>
      <c r="O265" s="190" t="str">
        <f>"["&amp;$C265&amp;"]["&amp;$D265&amp;"]["&amp;$F265&amp;"]"</f>
        <v>[S05_AggregateTotalEmissionsByCRF][18][TotalEmissionsTCo2e]</v>
      </c>
    </row>
    <row r="266" spans="1:15" x14ac:dyDescent="0.3">
      <c r="A266" t="s">
        <v>2277</v>
      </c>
      <c r="B266" t="s">
        <v>1846</v>
      </c>
      <c r="C266" t="s">
        <v>1849</v>
      </c>
      <c r="D266">
        <v>19</v>
      </c>
      <c r="E266" t="s">
        <v>1447</v>
      </c>
      <c r="F266" t="s">
        <v>1852</v>
      </c>
      <c r="G266" t="s">
        <v>1806</v>
      </c>
      <c r="H266" t="s">
        <v>2279</v>
      </c>
      <c r="I266" t="s">
        <v>2279</v>
      </c>
      <c r="J266">
        <v>437080.06473292399</v>
      </c>
      <c r="K266" t="s">
        <v>2279</v>
      </c>
      <c r="L266" t="s">
        <v>2279</v>
      </c>
      <c r="M266" t="s">
        <v>2279</v>
      </c>
      <c r="N266" t="s">
        <v>2279</v>
      </c>
      <c r="O266" s="190" t="str">
        <f>"["&amp;$C266&amp;"]["&amp;$D266&amp;"]["&amp;$F266&amp;"]"</f>
        <v>[S05_AggregateTotalEmissionsByCRF][19][TotalEmissionsTCo2e]</v>
      </c>
    </row>
    <row r="267" spans="1:15" x14ac:dyDescent="0.3">
      <c r="A267" t="s">
        <v>2277</v>
      </c>
      <c r="B267" t="s">
        <v>1846</v>
      </c>
      <c r="C267" t="s">
        <v>1849</v>
      </c>
      <c r="D267">
        <v>20</v>
      </c>
      <c r="E267" t="s">
        <v>1447</v>
      </c>
      <c r="F267" t="s">
        <v>1852</v>
      </c>
      <c r="G267" t="s">
        <v>1806</v>
      </c>
      <c r="H267" t="s">
        <v>2279</v>
      </c>
      <c r="I267" t="s">
        <v>2279</v>
      </c>
      <c r="J267">
        <v>168887.14314506599</v>
      </c>
      <c r="K267" t="s">
        <v>2279</v>
      </c>
      <c r="L267" t="s">
        <v>2279</v>
      </c>
      <c r="M267" t="s">
        <v>2279</v>
      </c>
      <c r="N267" t="s">
        <v>2279</v>
      </c>
      <c r="O267" s="190" t="str">
        <f>"["&amp;$C267&amp;"]["&amp;$D267&amp;"]["&amp;$F267&amp;"]"</f>
        <v>[S05_AggregateTotalEmissionsByCRF][20][TotalEmissionsTCo2e]</v>
      </c>
    </row>
    <row r="268" spans="1:15" x14ac:dyDescent="0.3">
      <c r="A268" t="s">
        <v>2277</v>
      </c>
      <c r="B268" t="s">
        <v>1846</v>
      </c>
      <c r="C268" t="s">
        <v>1849</v>
      </c>
      <c r="D268">
        <v>21</v>
      </c>
      <c r="E268" t="s">
        <v>1447</v>
      </c>
      <c r="F268" t="s">
        <v>1852</v>
      </c>
      <c r="G268" t="s">
        <v>1806</v>
      </c>
      <c r="H268" t="s">
        <v>2279</v>
      </c>
      <c r="I268" t="s">
        <v>2279</v>
      </c>
      <c r="J268">
        <v>132409.63135103899</v>
      </c>
      <c r="K268" t="s">
        <v>2279</v>
      </c>
      <c r="L268" t="s">
        <v>2279</v>
      </c>
      <c r="M268" t="s">
        <v>2279</v>
      </c>
      <c r="N268" t="s">
        <v>2279</v>
      </c>
      <c r="O268" s="190" t="str">
        <f>"["&amp;$C268&amp;"]["&amp;$D268&amp;"]["&amp;$F268&amp;"]"</f>
        <v>[S05_AggregateTotalEmissionsByCRF][21][TotalEmissionsTCo2e]</v>
      </c>
    </row>
    <row r="269" spans="1:15" x14ac:dyDescent="0.3">
      <c r="A269" t="s">
        <v>2277</v>
      </c>
      <c r="B269" t="s">
        <v>1846</v>
      </c>
      <c r="C269" t="s">
        <v>1849</v>
      </c>
      <c r="D269">
        <v>22</v>
      </c>
      <c r="E269" t="s">
        <v>1447</v>
      </c>
      <c r="F269" t="s">
        <v>1852</v>
      </c>
      <c r="G269" t="s">
        <v>1806</v>
      </c>
      <c r="H269" t="s">
        <v>2279</v>
      </c>
      <c r="I269" t="s">
        <v>2279</v>
      </c>
      <c r="J269">
        <v>20783.852083074002</v>
      </c>
      <c r="K269" t="s">
        <v>2279</v>
      </c>
      <c r="L269" t="s">
        <v>2279</v>
      </c>
      <c r="M269" t="s">
        <v>2279</v>
      </c>
      <c r="N269" t="s">
        <v>2279</v>
      </c>
      <c r="O269" s="190" t="str">
        <f>"["&amp;$C269&amp;"]["&amp;$D269&amp;"]["&amp;$F269&amp;"]"</f>
        <v>[S05_AggregateTotalEmissionsByCRF][22][TotalEmissionsTCo2e]</v>
      </c>
    </row>
    <row r="270" spans="1:15" x14ac:dyDescent="0.3">
      <c r="A270" t="s">
        <v>2277</v>
      </c>
      <c r="B270" t="s">
        <v>1846</v>
      </c>
      <c r="C270" t="s">
        <v>1849</v>
      </c>
      <c r="D270">
        <v>23</v>
      </c>
      <c r="E270" t="s">
        <v>1447</v>
      </c>
      <c r="F270" t="s">
        <v>1852</v>
      </c>
      <c r="G270" t="s">
        <v>1806</v>
      </c>
      <c r="H270" t="s">
        <v>2279</v>
      </c>
      <c r="I270" t="s">
        <v>2279</v>
      </c>
      <c r="J270">
        <v>40194.664701526002</v>
      </c>
      <c r="K270" t="s">
        <v>2279</v>
      </c>
      <c r="L270" t="s">
        <v>2279</v>
      </c>
      <c r="M270" t="s">
        <v>2279</v>
      </c>
      <c r="N270" t="s">
        <v>2279</v>
      </c>
      <c r="O270" s="190" t="str">
        <f>"["&amp;$C270&amp;"]["&amp;$D270&amp;"]["&amp;$F270&amp;"]"</f>
        <v>[S05_AggregateTotalEmissionsByCRF][23][TotalEmissionsTCo2e]</v>
      </c>
    </row>
    <row r="271" spans="1:15" x14ac:dyDescent="0.3">
      <c r="A271" t="s">
        <v>2277</v>
      </c>
      <c r="B271" t="s">
        <v>1846</v>
      </c>
      <c r="C271" t="s">
        <v>1849</v>
      </c>
      <c r="D271">
        <v>24</v>
      </c>
      <c r="E271" t="s">
        <v>1447</v>
      </c>
      <c r="F271" t="s">
        <v>1852</v>
      </c>
      <c r="G271" t="s">
        <v>1806</v>
      </c>
      <c r="H271" t="s">
        <v>2279</v>
      </c>
      <c r="I271" t="s">
        <v>2279</v>
      </c>
      <c r="J271">
        <v>2822157.7859452101</v>
      </c>
      <c r="K271" t="s">
        <v>2279</v>
      </c>
      <c r="L271" t="s">
        <v>2279</v>
      </c>
      <c r="M271" t="s">
        <v>2279</v>
      </c>
      <c r="N271" t="s">
        <v>2279</v>
      </c>
      <c r="O271" s="190" t="str">
        <f>"["&amp;$C271&amp;"]["&amp;$D271&amp;"]["&amp;$F271&amp;"]"</f>
        <v>[S05_AggregateTotalEmissionsByCRF][24][TotalEmissionsTCo2e]</v>
      </c>
    </row>
    <row r="272" spans="1:15" x14ac:dyDescent="0.3">
      <c r="A272" t="s">
        <v>2277</v>
      </c>
      <c r="B272" t="s">
        <v>1846</v>
      </c>
      <c r="C272" t="s">
        <v>1849</v>
      </c>
      <c r="D272">
        <v>25</v>
      </c>
      <c r="E272" t="s">
        <v>1447</v>
      </c>
      <c r="F272" t="s">
        <v>1852</v>
      </c>
      <c r="G272" t="s">
        <v>1806</v>
      </c>
      <c r="H272" t="s">
        <v>2279</v>
      </c>
      <c r="I272" t="s">
        <v>2279</v>
      </c>
      <c r="J272">
        <v>954168.31530948705</v>
      </c>
      <c r="K272" t="s">
        <v>2279</v>
      </c>
      <c r="L272" t="s">
        <v>2279</v>
      </c>
      <c r="M272" t="s">
        <v>2279</v>
      </c>
      <c r="N272" t="s">
        <v>2279</v>
      </c>
      <c r="O272" s="190" t="str">
        <f>"["&amp;$C272&amp;"]["&amp;$D272&amp;"]["&amp;$F272&amp;"]"</f>
        <v>[S05_AggregateTotalEmissionsByCRF][25][TotalEmissionsTCo2e]</v>
      </c>
    </row>
    <row r="273" spans="1:15" x14ac:dyDescent="0.3">
      <c r="A273" t="s">
        <v>2277</v>
      </c>
      <c r="B273" t="s">
        <v>1846</v>
      </c>
      <c r="C273" t="s">
        <v>1849</v>
      </c>
      <c r="D273">
        <v>26</v>
      </c>
      <c r="E273" t="s">
        <v>1447</v>
      </c>
      <c r="F273" t="s">
        <v>1852</v>
      </c>
      <c r="G273" t="s">
        <v>1806</v>
      </c>
      <c r="H273" t="s">
        <v>2279</v>
      </c>
      <c r="I273" t="s">
        <v>2279</v>
      </c>
      <c r="J273">
        <v>380500.720244542</v>
      </c>
      <c r="K273" t="s">
        <v>2279</v>
      </c>
      <c r="L273" t="s">
        <v>2279</v>
      </c>
      <c r="M273" t="s">
        <v>2279</v>
      </c>
      <c r="N273" t="s">
        <v>2279</v>
      </c>
      <c r="O273" s="190" t="str">
        <f>"["&amp;$C273&amp;"]["&amp;$D273&amp;"]["&amp;$F273&amp;"]"</f>
        <v>[S05_AggregateTotalEmissionsByCRF][26][TotalEmissionsTCo2e]</v>
      </c>
    </row>
    <row r="274" spans="1:15" x14ac:dyDescent="0.3">
      <c r="A274" t="s">
        <v>2277</v>
      </c>
      <c r="B274" t="s">
        <v>1846</v>
      </c>
      <c r="C274" t="s">
        <v>1849</v>
      </c>
      <c r="D274">
        <v>27</v>
      </c>
      <c r="E274" t="s">
        <v>1447</v>
      </c>
      <c r="F274" t="s">
        <v>1852</v>
      </c>
      <c r="G274" t="s">
        <v>1806</v>
      </c>
      <c r="H274" t="s">
        <v>2279</v>
      </c>
      <c r="I274" t="s">
        <v>2279</v>
      </c>
      <c r="J274">
        <v>425237.70174938499</v>
      </c>
      <c r="K274" t="s">
        <v>2279</v>
      </c>
      <c r="L274" t="s">
        <v>2279</v>
      </c>
      <c r="M274" t="s">
        <v>2279</v>
      </c>
      <c r="N274" t="s">
        <v>2279</v>
      </c>
      <c r="O274" s="190" t="str">
        <f>"["&amp;$C274&amp;"]["&amp;$D274&amp;"]["&amp;$F274&amp;"]"</f>
        <v>[S05_AggregateTotalEmissionsByCRF][27][TotalEmissionsTCo2e]</v>
      </c>
    </row>
    <row r="275" spans="1:15" x14ac:dyDescent="0.3">
      <c r="A275" t="s">
        <v>2277</v>
      </c>
      <c r="B275" t="s">
        <v>1846</v>
      </c>
      <c r="C275" t="s">
        <v>1849</v>
      </c>
      <c r="D275">
        <v>28</v>
      </c>
      <c r="E275" t="s">
        <v>1447</v>
      </c>
      <c r="F275" t="s">
        <v>1852</v>
      </c>
      <c r="G275" t="s">
        <v>1806</v>
      </c>
      <c r="H275" t="s">
        <v>2279</v>
      </c>
      <c r="I275" t="s">
        <v>2279</v>
      </c>
      <c r="J275">
        <v>166107.163897149</v>
      </c>
      <c r="K275" t="s">
        <v>2279</v>
      </c>
      <c r="L275" t="s">
        <v>2279</v>
      </c>
      <c r="M275" t="s">
        <v>2279</v>
      </c>
      <c r="N275" t="s">
        <v>2279</v>
      </c>
      <c r="O275" s="190" t="str">
        <f>"["&amp;$C275&amp;"]["&amp;$D275&amp;"]["&amp;$F275&amp;"]"</f>
        <v>[S05_AggregateTotalEmissionsByCRF][28][TotalEmissionsTCo2e]</v>
      </c>
    </row>
    <row r="276" spans="1:15" x14ac:dyDescent="0.3">
      <c r="A276" t="s">
        <v>2277</v>
      </c>
      <c r="B276" t="s">
        <v>1846</v>
      </c>
      <c r="C276" t="s">
        <v>1849</v>
      </c>
      <c r="D276">
        <v>29</v>
      </c>
      <c r="E276" t="s">
        <v>1447</v>
      </c>
      <c r="F276" t="s">
        <v>1852</v>
      </c>
      <c r="G276" t="s">
        <v>1806</v>
      </c>
      <c r="H276" t="s">
        <v>2279</v>
      </c>
      <c r="I276" t="s">
        <v>2279</v>
      </c>
      <c r="J276">
        <v>22456.784259832501</v>
      </c>
      <c r="K276" t="s">
        <v>2279</v>
      </c>
      <c r="L276" t="s">
        <v>2279</v>
      </c>
      <c r="M276" t="s">
        <v>2279</v>
      </c>
      <c r="N276" t="s">
        <v>2279</v>
      </c>
      <c r="O276" s="190" t="str">
        <f>"["&amp;$C276&amp;"]["&amp;$D276&amp;"]["&amp;$F276&amp;"]"</f>
        <v>[S05_AggregateTotalEmissionsByCRF][29][TotalEmissionsTCo2e]</v>
      </c>
    </row>
    <row r="277" spans="1:15" x14ac:dyDescent="0.3">
      <c r="A277" t="s">
        <v>2277</v>
      </c>
      <c r="B277" t="s">
        <v>1846</v>
      </c>
      <c r="C277" t="s">
        <v>1849</v>
      </c>
      <c r="D277">
        <v>30</v>
      </c>
      <c r="E277" t="s">
        <v>1447</v>
      </c>
      <c r="F277" t="s">
        <v>1852</v>
      </c>
      <c r="G277" t="s">
        <v>1806</v>
      </c>
      <c r="H277" t="s">
        <v>2279</v>
      </c>
      <c r="I277" t="s">
        <v>2279</v>
      </c>
      <c r="J277">
        <v>6386.2866032849997</v>
      </c>
      <c r="K277" t="s">
        <v>2279</v>
      </c>
      <c r="L277" t="s">
        <v>2279</v>
      </c>
      <c r="M277" t="s">
        <v>2279</v>
      </c>
      <c r="N277" t="s">
        <v>2279</v>
      </c>
      <c r="O277" s="190" t="str">
        <f>"["&amp;$C277&amp;"]["&amp;$D277&amp;"]["&amp;$F277&amp;"]"</f>
        <v>[S05_AggregateTotalEmissionsByCRF][30][TotalEmissionsTCo2e]</v>
      </c>
    </row>
    <row r="278" spans="1:15" x14ac:dyDescent="0.3">
      <c r="A278" t="s">
        <v>2277</v>
      </c>
      <c r="B278" t="s">
        <v>1846</v>
      </c>
      <c r="C278" t="s">
        <v>1849</v>
      </c>
      <c r="D278">
        <v>31</v>
      </c>
      <c r="E278" t="s">
        <v>1447</v>
      </c>
      <c r="F278" t="s">
        <v>1852</v>
      </c>
      <c r="G278" t="s">
        <v>1806</v>
      </c>
      <c r="H278" t="s">
        <v>2279</v>
      </c>
      <c r="I278" t="s">
        <v>2279</v>
      </c>
      <c r="J278">
        <v>0</v>
      </c>
      <c r="K278" t="s">
        <v>2279</v>
      </c>
      <c r="L278" t="s">
        <v>2279</v>
      </c>
      <c r="M278" t="s">
        <v>2279</v>
      </c>
      <c r="N278" t="s">
        <v>2279</v>
      </c>
      <c r="O278" s="190" t="str">
        <f>"["&amp;$C278&amp;"]["&amp;$D278&amp;"]["&amp;$F278&amp;"]"</f>
        <v>[S05_AggregateTotalEmissionsByCRF][31][TotalEmissionsTCo2e]</v>
      </c>
    </row>
    <row r="279" spans="1:15" x14ac:dyDescent="0.3">
      <c r="A279" t="s">
        <v>2277</v>
      </c>
      <c r="B279" t="s">
        <v>1846</v>
      </c>
      <c r="C279" t="s">
        <v>1849</v>
      </c>
      <c r="D279">
        <v>32</v>
      </c>
      <c r="E279" t="s">
        <v>1447</v>
      </c>
      <c r="F279" t="s">
        <v>1852</v>
      </c>
      <c r="G279" t="s">
        <v>1806</v>
      </c>
      <c r="H279" t="s">
        <v>2279</v>
      </c>
      <c r="I279" t="s">
        <v>2279</v>
      </c>
      <c r="J279">
        <v>39630.309604324</v>
      </c>
      <c r="K279" t="s">
        <v>2279</v>
      </c>
      <c r="L279" t="s">
        <v>2279</v>
      </c>
      <c r="M279" t="s">
        <v>2279</v>
      </c>
      <c r="N279" t="s">
        <v>2279</v>
      </c>
      <c r="O279" s="190" t="str">
        <f>"["&amp;$C279&amp;"]["&amp;$D279&amp;"]["&amp;$F279&amp;"]"</f>
        <v>[S05_AggregateTotalEmissionsByCRF][32][TotalEmissionsTCo2e]</v>
      </c>
    </row>
    <row r="280" spans="1:15" x14ac:dyDescent="0.3">
      <c r="A280" t="s">
        <v>2277</v>
      </c>
      <c r="B280" t="s">
        <v>1846</v>
      </c>
      <c r="C280" t="s">
        <v>1849</v>
      </c>
      <c r="D280">
        <v>33</v>
      </c>
      <c r="E280" t="s">
        <v>1447</v>
      </c>
      <c r="F280" t="s">
        <v>1852</v>
      </c>
      <c r="G280" t="s">
        <v>1806</v>
      </c>
      <c r="H280" t="s">
        <v>2279</v>
      </c>
      <c r="I280" t="s">
        <v>2279</v>
      </c>
      <c r="J280">
        <v>25315.297310579499</v>
      </c>
      <c r="K280" t="s">
        <v>2279</v>
      </c>
      <c r="L280" t="s">
        <v>2279</v>
      </c>
      <c r="M280" t="s">
        <v>2279</v>
      </c>
      <c r="N280" t="s">
        <v>2279</v>
      </c>
      <c r="O280" s="190" t="str">
        <f>"["&amp;$C280&amp;"]["&amp;$D280&amp;"]["&amp;$F280&amp;"]"</f>
        <v>[S05_AggregateTotalEmissionsByCRF][33][TotalEmissionsTCo2e]</v>
      </c>
    </row>
    <row r="281" spans="1:15" x14ac:dyDescent="0.3">
      <c r="A281" t="s">
        <v>2277</v>
      </c>
      <c r="B281" t="s">
        <v>1846</v>
      </c>
      <c r="C281" t="s">
        <v>1849</v>
      </c>
      <c r="D281">
        <v>34</v>
      </c>
      <c r="E281" t="s">
        <v>1447</v>
      </c>
      <c r="F281" t="s">
        <v>1852</v>
      </c>
      <c r="G281" t="s">
        <v>1806</v>
      </c>
      <c r="H281" t="s">
        <v>2279</v>
      </c>
      <c r="I281" t="s">
        <v>2279</v>
      </c>
      <c r="J281">
        <v>26869.874775213499</v>
      </c>
      <c r="K281" t="s">
        <v>2279</v>
      </c>
      <c r="L281" t="s">
        <v>2279</v>
      </c>
      <c r="M281" t="s">
        <v>2279</v>
      </c>
      <c r="N281" t="s">
        <v>2279</v>
      </c>
      <c r="O281" s="190" t="str">
        <f>"["&amp;$C281&amp;"]["&amp;$D281&amp;"]["&amp;$F281&amp;"]"</f>
        <v>[S05_AggregateTotalEmissionsByCRF][34][TotalEmissionsTCo2e]</v>
      </c>
    </row>
    <row r="282" spans="1:15" x14ac:dyDescent="0.3">
      <c r="A282" t="s">
        <v>2277</v>
      </c>
      <c r="B282" t="s">
        <v>1846</v>
      </c>
      <c r="C282" t="s">
        <v>1849</v>
      </c>
      <c r="D282">
        <v>35</v>
      </c>
      <c r="E282" t="s">
        <v>1447</v>
      </c>
      <c r="F282" t="s">
        <v>1852</v>
      </c>
      <c r="G282" t="s">
        <v>1806</v>
      </c>
      <c r="H282" t="s">
        <v>2279</v>
      </c>
      <c r="I282" t="s">
        <v>2279</v>
      </c>
      <c r="J282">
        <v>302012.00208227598</v>
      </c>
      <c r="K282" t="s">
        <v>2279</v>
      </c>
      <c r="L282" t="s">
        <v>2279</v>
      </c>
      <c r="M282" t="s">
        <v>2279</v>
      </c>
      <c r="N282" t="s">
        <v>2279</v>
      </c>
      <c r="O282" s="190" t="str">
        <f>"["&amp;$C282&amp;"]["&amp;$D282&amp;"]["&amp;$F282&amp;"]"</f>
        <v>[S05_AggregateTotalEmissionsByCRF][35][TotalEmissionsTCo2e]</v>
      </c>
    </row>
    <row r="283" spans="1:15" x14ac:dyDescent="0.3">
      <c r="A283" t="s">
        <v>2277</v>
      </c>
      <c r="B283" t="s">
        <v>1846</v>
      </c>
      <c r="C283" t="s">
        <v>1849</v>
      </c>
      <c r="D283">
        <v>36</v>
      </c>
      <c r="E283" t="s">
        <v>1447</v>
      </c>
      <c r="F283" t="s">
        <v>1852</v>
      </c>
      <c r="G283" t="s">
        <v>1806</v>
      </c>
      <c r="H283" t="s">
        <v>2279</v>
      </c>
      <c r="I283" t="s">
        <v>2279</v>
      </c>
      <c r="J283">
        <v>45647.5750164208</v>
      </c>
      <c r="K283" t="s">
        <v>2279</v>
      </c>
      <c r="L283" t="s">
        <v>2279</v>
      </c>
      <c r="M283" t="s">
        <v>2279</v>
      </c>
      <c r="N283" t="s">
        <v>2279</v>
      </c>
      <c r="O283" s="190" t="str">
        <f>"["&amp;$C283&amp;"]["&amp;$D283&amp;"]["&amp;$F283&amp;"]"</f>
        <v>[S05_AggregateTotalEmissionsByCRF][36][TotalEmissionsTCo2e]</v>
      </c>
    </row>
    <row r="284" spans="1:15" x14ac:dyDescent="0.3">
      <c r="A284" t="s">
        <v>2277</v>
      </c>
      <c r="B284" t="s">
        <v>1846</v>
      </c>
      <c r="C284" t="s">
        <v>1849</v>
      </c>
      <c r="D284">
        <v>37</v>
      </c>
      <c r="E284" t="s">
        <v>1447</v>
      </c>
      <c r="F284" t="s">
        <v>1852</v>
      </c>
      <c r="G284" t="s">
        <v>1806</v>
      </c>
      <c r="H284" t="s">
        <v>2279</v>
      </c>
      <c r="I284" t="s">
        <v>2279</v>
      </c>
      <c r="J284">
        <v>41789.632066347498</v>
      </c>
      <c r="K284" t="s">
        <v>2279</v>
      </c>
      <c r="L284" t="s">
        <v>2279</v>
      </c>
      <c r="M284" t="s">
        <v>2279</v>
      </c>
      <c r="N284" t="s">
        <v>2279</v>
      </c>
      <c r="O284" s="190" t="str">
        <f>"["&amp;$C284&amp;"]["&amp;$D284&amp;"]["&amp;$F284&amp;"]"</f>
        <v>[S05_AggregateTotalEmissionsByCRF][37][TotalEmissionsTCo2e]</v>
      </c>
    </row>
    <row r="285" spans="1:15" x14ac:dyDescent="0.3">
      <c r="A285" t="s">
        <v>2277</v>
      </c>
      <c r="B285" t="s">
        <v>1846</v>
      </c>
      <c r="C285" t="s">
        <v>1849</v>
      </c>
      <c r="D285">
        <v>38</v>
      </c>
      <c r="E285" t="s">
        <v>1447</v>
      </c>
      <c r="F285" t="s">
        <v>1852</v>
      </c>
      <c r="G285" t="s">
        <v>1806</v>
      </c>
      <c r="H285" t="s">
        <v>2279</v>
      </c>
      <c r="I285" t="s">
        <v>2279</v>
      </c>
      <c r="J285">
        <v>39744.551942496902</v>
      </c>
      <c r="K285" t="s">
        <v>2279</v>
      </c>
      <c r="L285" t="s">
        <v>2279</v>
      </c>
      <c r="M285" t="s">
        <v>2279</v>
      </c>
      <c r="N285" t="s">
        <v>2279</v>
      </c>
      <c r="O285" s="190" t="str">
        <f>"["&amp;$C285&amp;"]["&amp;$D285&amp;"]["&amp;$F285&amp;"]"</f>
        <v>[S05_AggregateTotalEmissionsByCRF][38][TotalEmissionsTCo2e]</v>
      </c>
    </row>
    <row r="286" spans="1:15" x14ac:dyDescent="0.3">
      <c r="A286" t="s">
        <v>2277</v>
      </c>
      <c r="B286" t="s">
        <v>1846</v>
      </c>
      <c r="C286" t="s">
        <v>1849</v>
      </c>
      <c r="D286">
        <v>39</v>
      </c>
      <c r="E286" t="s">
        <v>1447</v>
      </c>
      <c r="F286" t="s">
        <v>1852</v>
      </c>
      <c r="G286" t="s">
        <v>1806</v>
      </c>
      <c r="H286" t="s">
        <v>2279</v>
      </c>
      <c r="I286" t="s">
        <v>2279</v>
      </c>
      <c r="J286">
        <v>26970.672835132998</v>
      </c>
      <c r="K286" t="s">
        <v>2279</v>
      </c>
      <c r="L286" t="s">
        <v>2279</v>
      </c>
      <c r="M286" t="s">
        <v>2279</v>
      </c>
      <c r="N286" t="s">
        <v>2279</v>
      </c>
      <c r="O286" s="190" t="str">
        <f>"["&amp;$C286&amp;"]["&amp;$D286&amp;"]["&amp;$F286&amp;"]"</f>
        <v>[S05_AggregateTotalEmissionsByCRF][39][TotalEmissionsTCo2e]</v>
      </c>
    </row>
    <row r="287" spans="1:15" x14ac:dyDescent="0.3">
      <c r="A287" t="s">
        <v>2277</v>
      </c>
      <c r="B287" t="s">
        <v>1846</v>
      </c>
      <c r="C287" t="s">
        <v>1849</v>
      </c>
      <c r="D287">
        <v>40</v>
      </c>
      <c r="E287" t="s">
        <v>1447</v>
      </c>
      <c r="F287" t="s">
        <v>1852</v>
      </c>
      <c r="G287" t="s">
        <v>1806</v>
      </c>
      <c r="H287" t="s">
        <v>2279</v>
      </c>
      <c r="I287" t="s">
        <v>2279</v>
      </c>
      <c r="J287">
        <v>0</v>
      </c>
      <c r="K287" t="s">
        <v>2279</v>
      </c>
      <c r="L287" t="s">
        <v>2279</v>
      </c>
      <c r="M287" t="s">
        <v>2279</v>
      </c>
      <c r="N287" t="s">
        <v>2279</v>
      </c>
      <c r="O287" s="190" t="str">
        <f>"["&amp;$C287&amp;"]["&amp;$D287&amp;"]["&amp;$F287&amp;"]"</f>
        <v>[S05_AggregateTotalEmissionsByCRF][40][TotalEmissionsTCo2e]</v>
      </c>
    </row>
    <row r="288" spans="1:15" x14ac:dyDescent="0.3">
      <c r="A288" t="s">
        <v>2277</v>
      </c>
      <c r="B288" t="s">
        <v>1846</v>
      </c>
      <c r="C288" t="s">
        <v>1849</v>
      </c>
      <c r="D288">
        <v>41</v>
      </c>
      <c r="E288" t="s">
        <v>1447</v>
      </c>
      <c r="F288" t="s">
        <v>1852</v>
      </c>
      <c r="G288" t="s">
        <v>1806</v>
      </c>
      <c r="H288" t="s">
        <v>2279</v>
      </c>
      <c r="I288" t="s">
        <v>2279</v>
      </c>
      <c r="J288">
        <v>2532658.2619360499</v>
      </c>
      <c r="K288" t="s">
        <v>2279</v>
      </c>
      <c r="L288" t="s">
        <v>2279</v>
      </c>
      <c r="M288" t="s">
        <v>2279</v>
      </c>
      <c r="N288" t="s">
        <v>2279</v>
      </c>
      <c r="O288" s="190" t="str">
        <f>"["&amp;$C288&amp;"]["&amp;$D288&amp;"]["&amp;$F288&amp;"]"</f>
        <v>[S05_AggregateTotalEmissionsByCRF][41][TotalEmissionsTCo2e]</v>
      </c>
    </row>
    <row r="289" spans="1:15" x14ac:dyDescent="0.3">
      <c r="A289" t="s">
        <v>2277</v>
      </c>
      <c r="B289" t="s">
        <v>1846</v>
      </c>
      <c r="C289" t="s">
        <v>1849</v>
      </c>
      <c r="D289">
        <v>42</v>
      </c>
      <c r="E289" t="s">
        <v>1447</v>
      </c>
      <c r="F289" t="s">
        <v>1852</v>
      </c>
      <c r="G289" t="s">
        <v>1806</v>
      </c>
      <c r="H289" t="s">
        <v>2279</v>
      </c>
      <c r="I289" t="s">
        <v>2279</v>
      </c>
      <c r="J289">
        <v>5634.4295840000004</v>
      </c>
      <c r="K289" t="s">
        <v>2279</v>
      </c>
      <c r="L289" t="s">
        <v>2279</v>
      </c>
      <c r="M289" t="s">
        <v>2279</v>
      </c>
      <c r="N289" t="s">
        <v>2279</v>
      </c>
      <c r="O289" s="190" t="str">
        <f>"["&amp;$C289&amp;"]["&amp;$D289&amp;"]["&amp;$F289&amp;"]"</f>
        <v>[S05_AggregateTotalEmissionsByCRF][42][TotalEmissionsTCo2e]</v>
      </c>
    </row>
    <row r="290" spans="1:15" x14ac:dyDescent="0.3">
      <c r="A290" t="s">
        <v>2277</v>
      </c>
      <c r="B290" t="s">
        <v>1846</v>
      </c>
      <c r="C290" t="s">
        <v>1849</v>
      </c>
      <c r="D290">
        <v>1</v>
      </c>
      <c r="E290" t="s">
        <v>1447</v>
      </c>
      <c r="F290" t="s">
        <v>1853</v>
      </c>
      <c r="G290" t="s">
        <v>1806</v>
      </c>
      <c r="H290" t="s">
        <v>2279</v>
      </c>
      <c r="I290" t="s">
        <v>2279</v>
      </c>
      <c r="J290">
        <v>30137363.377583802</v>
      </c>
      <c r="K290" t="s">
        <v>2279</v>
      </c>
      <c r="L290" t="s">
        <v>2279</v>
      </c>
      <c r="M290" t="s">
        <v>2279</v>
      </c>
      <c r="N290" t="s">
        <v>2279</v>
      </c>
      <c r="O290" s="190" t="str">
        <f>"["&amp;$C290&amp;"]["&amp;$D290&amp;"]["&amp;$F290&amp;"]"</f>
        <v>[S05_AggregateTotalEmissionsByCRF][1][TotalCombustionEmissionsTCo2e]</v>
      </c>
    </row>
    <row r="291" spans="1:15" x14ac:dyDescent="0.3">
      <c r="A291" t="s">
        <v>2277</v>
      </c>
      <c r="B291" t="s">
        <v>1846</v>
      </c>
      <c r="C291" t="s">
        <v>1849</v>
      </c>
      <c r="D291">
        <v>2</v>
      </c>
      <c r="E291" t="s">
        <v>1447</v>
      </c>
      <c r="F291" t="s">
        <v>1853</v>
      </c>
      <c r="G291" t="s">
        <v>1806</v>
      </c>
      <c r="H291" t="s">
        <v>2279</v>
      </c>
      <c r="I291" t="s">
        <v>2279</v>
      </c>
      <c r="J291">
        <v>6839140.4843730303</v>
      </c>
      <c r="K291" t="s">
        <v>2279</v>
      </c>
      <c r="L291" t="s">
        <v>2279</v>
      </c>
      <c r="M291" t="s">
        <v>2279</v>
      </c>
      <c r="N291" t="s">
        <v>2279</v>
      </c>
      <c r="O291" s="190" t="str">
        <f>"["&amp;$C291&amp;"]["&amp;$D291&amp;"]["&amp;$F291&amp;"]"</f>
        <v>[S05_AggregateTotalEmissionsByCRF][2][TotalCombustionEmissionsTCo2e]</v>
      </c>
    </row>
    <row r="292" spans="1:15" x14ac:dyDescent="0.3">
      <c r="A292" t="s">
        <v>2277</v>
      </c>
      <c r="B292" t="s">
        <v>1846</v>
      </c>
      <c r="C292" t="s">
        <v>1849</v>
      </c>
      <c r="D292">
        <v>3</v>
      </c>
      <c r="E292" t="s">
        <v>1447</v>
      </c>
      <c r="F292" t="s">
        <v>1853</v>
      </c>
      <c r="G292" t="s">
        <v>1806</v>
      </c>
      <c r="H292" t="s">
        <v>2279</v>
      </c>
      <c r="I292" t="s">
        <v>2279</v>
      </c>
      <c r="J292">
        <v>769212.20127757103</v>
      </c>
      <c r="K292" t="s">
        <v>2279</v>
      </c>
      <c r="L292" t="s">
        <v>2279</v>
      </c>
      <c r="M292" t="s">
        <v>2279</v>
      </c>
      <c r="N292" t="s">
        <v>2279</v>
      </c>
      <c r="O292" s="190" t="str">
        <f>"["&amp;$C292&amp;"]["&amp;$D292&amp;"]["&amp;$F292&amp;"]"</f>
        <v>[S05_AggregateTotalEmissionsByCRF][3][TotalCombustionEmissionsTCo2e]</v>
      </c>
    </row>
    <row r="293" spans="1:15" x14ac:dyDescent="0.3">
      <c r="A293" t="s">
        <v>2277</v>
      </c>
      <c r="B293" t="s">
        <v>1846</v>
      </c>
      <c r="C293" t="s">
        <v>1849</v>
      </c>
      <c r="D293">
        <v>4</v>
      </c>
      <c r="E293" t="s">
        <v>1447</v>
      </c>
      <c r="F293" t="s">
        <v>1853</v>
      </c>
      <c r="G293" t="s">
        <v>1806</v>
      </c>
      <c r="H293" t="s">
        <v>2279</v>
      </c>
      <c r="I293" t="s">
        <v>2279</v>
      </c>
      <c r="J293">
        <v>76079.116801654905</v>
      </c>
      <c r="K293" t="s">
        <v>2279</v>
      </c>
      <c r="L293" t="s">
        <v>2279</v>
      </c>
      <c r="M293" t="s">
        <v>2279</v>
      </c>
      <c r="N293" t="s">
        <v>2279</v>
      </c>
      <c r="O293" s="190" t="str">
        <f>"["&amp;$C293&amp;"]["&amp;$D293&amp;"]["&amp;$F293&amp;"]"</f>
        <v>[S05_AggregateTotalEmissionsByCRF][4][TotalCombustionEmissionsTCo2e]</v>
      </c>
    </row>
    <row r="294" spans="1:15" x14ac:dyDescent="0.3">
      <c r="A294" t="s">
        <v>2277</v>
      </c>
      <c r="B294" t="s">
        <v>1846</v>
      </c>
      <c r="C294" t="s">
        <v>1849</v>
      </c>
      <c r="D294">
        <v>5</v>
      </c>
      <c r="E294" t="s">
        <v>1447</v>
      </c>
      <c r="F294" t="s">
        <v>1853</v>
      </c>
      <c r="G294" t="s">
        <v>1806</v>
      </c>
      <c r="H294" t="s">
        <v>2279</v>
      </c>
      <c r="I294" t="s">
        <v>2279</v>
      </c>
      <c r="J294">
        <v>0</v>
      </c>
      <c r="K294" t="s">
        <v>2279</v>
      </c>
      <c r="L294" t="s">
        <v>2279</v>
      </c>
      <c r="M294" t="s">
        <v>2279</v>
      </c>
      <c r="N294" t="s">
        <v>2279</v>
      </c>
      <c r="O294" s="190" t="str">
        <f>"["&amp;$C294&amp;"]["&amp;$D294&amp;"]["&amp;$F294&amp;"]"</f>
        <v>[S05_AggregateTotalEmissionsByCRF][5][TotalCombustionEmissionsTCo2e]</v>
      </c>
    </row>
    <row r="295" spans="1:15" x14ac:dyDescent="0.3">
      <c r="A295" t="s">
        <v>2277</v>
      </c>
      <c r="B295" t="s">
        <v>1846</v>
      </c>
      <c r="C295" t="s">
        <v>1849</v>
      </c>
      <c r="D295">
        <v>6</v>
      </c>
      <c r="E295" t="s">
        <v>1447</v>
      </c>
      <c r="F295" t="s">
        <v>1853</v>
      </c>
      <c r="G295" t="s">
        <v>1806</v>
      </c>
      <c r="H295" t="s">
        <v>2279</v>
      </c>
      <c r="I295" t="s">
        <v>2279</v>
      </c>
      <c r="J295">
        <v>456.22690160594999</v>
      </c>
      <c r="K295" t="s">
        <v>2279</v>
      </c>
      <c r="L295" t="s">
        <v>2279</v>
      </c>
      <c r="M295" t="s">
        <v>2279</v>
      </c>
      <c r="N295" t="s">
        <v>2279</v>
      </c>
      <c r="O295" s="190" t="str">
        <f>"["&amp;$C295&amp;"]["&amp;$D295&amp;"]["&amp;$F295&amp;"]"</f>
        <v>[S05_AggregateTotalEmissionsByCRF][6][TotalCombustionEmissionsTCo2e]</v>
      </c>
    </row>
    <row r="296" spans="1:15" x14ac:dyDescent="0.3">
      <c r="A296" t="s">
        <v>2277</v>
      </c>
      <c r="B296" t="s">
        <v>1846</v>
      </c>
      <c r="C296" t="s">
        <v>1849</v>
      </c>
      <c r="D296">
        <v>7</v>
      </c>
      <c r="E296" t="s">
        <v>1447</v>
      </c>
      <c r="F296" t="s">
        <v>1853</v>
      </c>
      <c r="G296" t="s">
        <v>1806</v>
      </c>
      <c r="H296" t="s">
        <v>2279</v>
      </c>
      <c r="I296" t="s">
        <v>2279</v>
      </c>
      <c r="J296">
        <v>957662.33025258</v>
      </c>
      <c r="K296" t="s">
        <v>2279</v>
      </c>
      <c r="L296" t="s">
        <v>2279</v>
      </c>
      <c r="M296" t="s">
        <v>2279</v>
      </c>
      <c r="N296" t="s">
        <v>2279</v>
      </c>
      <c r="O296" s="190" t="str">
        <f>"["&amp;$C296&amp;"]["&amp;$D296&amp;"]["&amp;$F296&amp;"]"</f>
        <v>[S05_AggregateTotalEmissionsByCRF][7][TotalCombustionEmissionsTCo2e]</v>
      </c>
    </row>
    <row r="297" spans="1:15" x14ac:dyDescent="0.3">
      <c r="A297" t="s">
        <v>2277</v>
      </c>
      <c r="B297" t="s">
        <v>1846</v>
      </c>
      <c r="C297" t="s">
        <v>1849</v>
      </c>
      <c r="D297">
        <v>8</v>
      </c>
      <c r="E297" t="s">
        <v>1447</v>
      </c>
      <c r="F297" t="s">
        <v>1853</v>
      </c>
      <c r="G297" t="s">
        <v>1806</v>
      </c>
      <c r="H297" t="s">
        <v>2279</v>
      </c>
      <c r="I297" t="s">
        <v>2279</v>
      </c>
      <c r="J297">
        <v>2163783.7259255098</v>
      </c>
      <c r="K297" t="s">
        <v>2279</v>
      </c>
      <c r="L297" t="s">
        <v>2279</v>
      </c>
      <c r="M297" t="s">
        <v>2279</v>
      </c>
      <c r="N297" t="s">
        <v>2279</v>
      </c>
      <c r="O297" s="190" t="str">
        <f>"["&amp;$C297&amp;"]["&amp;$D297&amp;"]["&amp;$F297&amp;"]"</f>
        <v>[S05_AggregateTotalEmissionsByCRF][8][TotalCombustionEmissionsTCo2e]</v>
      </c>
    </row>
    <row r="298" spans="1:15" x14ac:dyDescent="0.3">
      <c r="A298" t="s">
        <v>2277</v>
      </c>
      <c r="B298" t="s">
        <v>1846</v>
      </c>
      <c r="C298" t="s">
        <v>1849</v>
      </c>
      <c r="D298">
        <v>9</v>
      </c>
      <c r="E298" t="s">
        <v>1447</v>
      </c>
      <c r="F298" t="s">
        <v>1853</v>
      </c>
      <c r="G298" t="s">
        <v>1806</v>
      </c>
      <c r="H298" t="s">
        <v>2279</v>
      </c>
      <c r="I298" t="s">
        <v>2279</v>
      </c>
      <c r="J298">
        <v>189225.61258550099</v>
      </c>
      <c r="K298" t="s">
        <v>2279</v>
      </c>
      <c r="L298" t="s">
        <v>2279</v>
      </c>
      <c r="M298" t="s">
        <v>2279</v>
      </c>
      <c r="N298" t="s">
        <v>2279</v>
      </c>
      <c r="O298" s="190" t="str">
        <f>"["&amp;$C298&amp;"]["&amp;$D298&amp;"]["&amp;$F298&amp;"]"</f>
        <v>[S05_AggregateTotalEmissionsByCRF][9][TotalCombustionEmissionsTCo2e]</v>
      </c>
    </row>
    <row r="299" spans="1:15" x14ac:dyDescent="0.3">
      <c r="A299" t="s">
        <v>2277</v>
      </c>
      <c r="B299" t="s">
        <v>1846</v>
      </c>
      <c r="C299" t="s">
        <v>1849</v>
      </c>
      <c r="D299">
        <v>10</v>
      </c>
      <c r="E299" t="s">
        <v>1447</v>
      </c>
      <c r="F299" t="s">
        <v>1853</v>
      </c>
      <c r="G299" t="s">
        <v>1806</v>
      </c>
      <c r="H299" t="s">
        <v>2279</v>
      </c>
      <c r="I299" t="s">
        <v>2279</v>
      </c>
      <c r="J299">
        <v>2562898.69351188</v>
      </c>
      <c r="K299" t="s">
        <v>2279</v>
      </c>
      <c r="L299" t="s">
        <v>2279</v>
      </c>
      <c r="M299" t="s">
        <v>2279</v>
      </c>
      <c r="N299" t="s">
        <v>2279</v>
      </c>
      <c r="O299" s="190" t="str">
        <f>"["&amp;$C299&amp;"]["&amp;$D299&amp;"]["&amp;$F299&amp;"]"</f>
        <v>[S05_AggregateTotalEmissionsByCRF][10][TotalCombustionEmissionsTCo2e]</v>
      </c>
    </row>
    <row r="300" spans="1:15" x14ac:dyDescent="0.3">
      <c r="A300" t="s">
        <v>2277</v>
      </c>
      <c r="B300" t="s">
        <v>1846</v>
      </c>
      <c r="C300" t="s">
        <v>1849</v>
      </c>
      <c r="D300">
        <v>11</v>
      </c>
      <c r="E300" t="s">
        <v>1447</v>
      </c>
      <c r="F300" t="s">
        <v>1853</v>
      </c>
      <c r="G300" t="s">
        <v>1806</v>
      </c>
      <c r="H300" t="s">
        <v>2279</v>
      </c>
      <c r="I300" t="s">
        <v>2279</v>
      </c>
      <c r="J300">
        <v>25174.793568767502</v>
      </c>
      <c r="K300" t="s">
        <v>2279</v>
      </c>
      <c r="L300" t="s">
        <v>2279</v>
      </c>
      <c r="M300" t="s">
        <v>2279</v>
      </c>
      <c r="N300" t="s">
        <v>2279</v>
      </c>
      <c r="O300" s="190" t="str">
        <f>"["&amp;$C300&amp;"]["&amp;$D300&amp;"]["&amp;$F300&amp;"]"</f>
        <v>[S05_AggregateTotalEmissionsByCRF][11][TotalCombustionEmissionsTCo2e]</v>
      </c>
    </row>
    <row r="301" spans="1:15" x14ac:dyDescent="0.3">
      <c r="A301" t="s">
        <v>2277</v>
      </c>
      <c r="B301" t="s">
        <v>1846</v>
      </c>
      <c r="C301" t="s">
        <v>1849</v>
      </c>
      <c r="D301">
        <v>12</v>
      </c>
      <c r="E301" t="s">
        <v>1447</v>
      </c>
      <c r="F301" t="s">
        <v>1853</v>
      </c>
      <c r="G301" t="s">
        <v>1806</v>
      </c>
      <c r="H301" t="s">
        <v>2279</v>
      </c>
      <c r="I301" t="s">
        <v>2279</v>
      </c>
      <c r="J301">
        <v>24130.748420726501</v>
      </c>
      <c r="K301" t="s">
        <v>2279</v>
      </c>
      <c r="L301" t="s">
        <v>2279</v>
      </c>
      <c r="M301" t="s">
        <v>2279</v>
      </c>
      <c r="N301" t="s">
        <v>2279</v>
      </c>
      <c r="O301" s="190" t="str">
        <f>"["&amp;$C301&amp;"]["&amp;$D301&amp;"]["&amp;$F301&amp;"]"</f>
        <v>[S05_AggregateTotalEmissionsByCRF][12][TotalCombustionEmissionsTCo2e]</v>
      </c>
    </row>
    <row r="302" spans="1:15" x14ac:dyDescent="0.3">
      <c r="A302" t="s">
        <v>2277</v>
      </c>
      <c r="B302" t="s">
        <v>1846</v>
      </c>
      <c r="C302" t="s">
        <v>1849</v>
      </c>
      <c r="D302">
        <v>13</v>
      </c>
      <c r="E302" t="s">
        <v>1447</v>
      </c>
      <c r="F302" t="s">
        <v>1853</v>
      </c>
      <c r="G302" t="s">
        <v>1806</v>
      </c>
      <c r="H302" t="s">
        <v>2279</v>
      </c>
      <c r="I302" t="s">
        <v>2279</v>
      </c>
      <c r="J302">
        <v>47912.892409619999</v>
      </c>
      <c r="K302" t="s">
        <v>2279</v>
      </c>
      <c r="L302" t="s">
        <v>2279</v>
      </c>
      <c r="M302" t="s">
        <v>2279</v>
      </c>
      <c r="N302" t="s">
        <v>2279</v>
      </c>
      <c r="O302" s="190" t="str">
        <f>"["&amp;$C302&amp;"]["&amp;$D302&amp;"]["&amp;$F302&amp;"]"</f>
        <v>[S05_AggregateTotalEmissionsByCRF][13][TotalCombustionEmissionsTCo2e]</v>
      </c>
    </row>
    <row r="303" spans="1:15" x14ac:dyDescent="0.3">
      <c r="A303" t="s">
        <v>2277</v>
      </c>
      <c r="B303" t="s">
        <v>1846</v>
      </c>
      <c r="C303" t="s">
        <v>1849</v>
      </c>
      <c r="D303">
        <v>14</v>
      </c>
      <c r="E303" t="s">
        <v>1447</v>
      </c>
      <c r="F303" t="s">
        <v>1853</v>
      </c>
      <c r="G303" t="s">
        <v>1806</v>
      </c>
      <c r="H303" t="s">
        <v>2279</v>
      </c>
      <c r="I303" t="s">
        <v>2279</v>
      </c>
      <c r="J303">
        <v>11366.251455818699</v>
      </c>
      <c r="K303" t="s">
        <v>2279</v>
      </c>
      <c r="L303" t="s">
        <v>2279</v>
      </c>
      <c r="M303" t="s">
        <v>2279</v>
      </c>
      <c r="N303" t="s">
        <v>2279</v>
      </c>
      <c r="O303" s="190" t="str">
        <f>"["&amp;$C303&amp;"]["&amp;$D303&amp;"]["&amp;$F303&amp;"]"</f>
        <v>[S05_AggregateTotalEmissionsByCRF][14][TotalCombustionEmissionsTCo2e]</v>
      </c>
    </row>
    <row r="304" spans="1:15" x14ac:dyDescent="0.3">
      <c r="A304" t="s">
        <v>2277</v>
      </c>
      <c r="B304" t="s">
        <v>1846</v>
      </c>
      <c r="C304" t="s">
        <v>1849</v>
      </c>
      <c r="D304">
        <v>15</v>
      </c>
      <c r="E304" t="s">
        <v>1447</v>
      </c>
      <c r="F304" t="s">
        <v>1853</v>
      </c>
      <c r="G304" t="s">
        <v>1806</v>
      </c>
      <c r="H304" t="s">
        <v>2279</v>
      </c>
      <c r="I304" t="s">
        <v>2279</v>
      </c>
      <c r="J304">
        <v>556337.83237493702</v>
      </c>
      <c r="K304" t="s">
        <v>2279</v>
      </c>
      <c r="L304" t="s">
        <v>2279</v>
      </c>
      <c r="M304" t="s">
        <v>2279</v>
      </c>
      <c r="N304" t="s">
        <v>2279</v>
      </c>
      <c r="O304" s="190" t="str">
        <f>"["&amp;$C304&amp;"]["&amp;$D304&amp;"]["&amp;$F304&amp;"]"</f>
        <v>[S05_AggregateTotalEmissionsByCRF][15][TotalCombustionEmissionsTCo2e]</v>
      </c>
    </row>
    <row r="305" spans="1:15" x14ac:dyDescent="0.3">
      <c r="A305" t="s">
        <v>2277</v>
      </c>
      <c r="B305" t="s">
        <v>1846</v>
      </c>
      <c r="C305" t="s">
        <v>1849</v>
      </c>
      <c r="D305">
        <v>16</v>
      </c>
      <c r="E305" t="s">
        <v>1447</v>
      </c>
      <c r="F305" t="s">
        <v>1853</v>
      </c>
      <c r="G305" t="s">
        <v>1806</v>
      </c>
      <c r="H305" t="s">
        <v>2279</v>
      </c>
      <c r="I305" t="s">
        <v>2279</v>
      </c>
      <c r="J305">
        <v>41757.201345503003</v>
      </c>
      <c r="K305" t="s">
        <v>2279</v>
      </c>
      <c r="L305" t="s">
        <v>2279</v>
      </c>
      <c r="M305" t="s">
        <v>2279</v>
      </c>
      <c r="N305" t="s">
        <v>2279</v>
      </c>
      <c r="O305" s="190" t="str">
        <f>"["&amp;$C305&amp;"]["&amp;$D305&amp;"]["&amp;$F305&amp;"]"</f>
        <v>[S05_AggregateTotalEmissionsByCRF][16][TotalCombustionEmissionsTCo2e]</v>
      </c>
    </row>
    <row r="306" spans="1:15" x14ac:dyDescent="0.3">
      <c r="A306" t="s">
        <v>2277</v>
      </c>
      <c r="B306" t="s">
        <v>1846</v>
      </c>
      <c r="C306" t="s">
        <v>1849</v>
      </c>
      <c r="D306">
        <v>17</v>
      </c>
      <c r="E306" t="s">
        <v>1447</v>
      </c>
      <c r="F306" t="s">
        <v>1853</v>
      </c>
      <c r="G306" t="s">
        <v>1806</v>
      </c>
      <c r="H306" t="s">
        <v>2279</v>
      </c>
      <c r="I306" t="s">
        <v>2279</v>
      </c>
      <c r="J306">
        <v>2640918.22940394</v>
      </c>
      <c r="K306" t="s">
        <v>2279</v>
      </c>
      <c r="L306" t="s">
        <v>2279</v>
      </c>
      <c r="M306" t="s">
        <v>2279</v>
      </c>
      <c r="N306" t="s">
        <v>2279</v>
      </c>
      <c r="O306" s="190" t="str">
        <f>"["&amp;$C306&amp;"]["&amp;$D306&amp;"]["&amp;$F306&amp;"]"</f>
        <v>[S05_AggregateTotalEmissionsByCRF][17][TotalCombustionEmissionsTCo2e]</v>
      </c>
    </row>
    <row r="307" spans="1:15" x14ac:dyDescent="0.3">
      <c r="A307" t="s">
        <v>2277</v>
      </c>
      <c r="B307" t="s">
        <v>1846</v>
      </c>
      <c r="C307" t="s">
        <v>1849</v>
      </c>
      <c r="D307">
        <v>18</v>
      </c>
      <c r="E307" t="s">
        <v>1447</v>
      </c>
      <c r="F307" t="s">
        <v>1853</v>
      </c>
      <c r="G307" t="s">
        <v>1806</v>
      </c>
      <c r="H307" t="s">
        <v>2279</v>
      </c>
      <c r="I307" t="s">
        <v>2279</v>
      </c>
      <c r="J307">
        <v>87250.591608641596</v>
      </c>
      <c r="K307" t="s">
        <v>2279</v>
      </c>
      <c r="L307" t="s">
        <v>2279</v>
      </c>
      <c r="M307" t="s">
        <v>2279</v>
      </c>
      <c r="N307" t="s">
        <v>2279</v>
      </c>
      <c r="O307" s="190" t="str">
        <f>"["&amp;$C307&amp;"]["&amp;$D307&amp;"]["&amp;$F307&amp;"]"</f>
        <v>[S05_AggregateTotalEmissionsByCRF][18][TotalCombustionEmissionsTCo2e]</v>
      </c>
    </row>
    <row r="308" spans="1:15" x14ac:dyDescent="0.3">
      <c r="A308" t="s">
        <v>2277</v>
      </c>
      <c r="B308" t="s">
        <v>1846</v>
      </c>
      <c r="C308" t="s">
        <v>1849</v>
      </c>
      <c r="D308">
        <v>19</v>
      </c>
      <c r="E308" t="s">
        <v>1447</v>
      </c>
      <c r="F308" t="s">
        <v>1853</v>
      </c>
      <c r="G308" t="s">
        <v>1806</v>
      </c>
      <c r="H308" t="s">
        <v>2279</v>
      </c>
      <c r="I308" t="s">
        <v>2279</v>
      </c>
      <c r="J308">
        <v>437720.75207005901</v>
      </c>
      <c r="K308" t="s">
        <v>2279</v>
      </c>
      <c r="L308" t="s">
        <v>2279</v>
      </c>
      <c r="M308" t="s">
        <v>2279</v>
      </c>
      <c r="N308" t="s">
        <v>2279</v>
      </c>
      <c r="O308" s="190" t="str">
        <f>"["&amp;$C308&amp;"]["&amp;$D308&amp;"]["&amp;$F308&amp;"]"</f>
        <v>[S05_AggregateTotalEmissionsByCRF][19][TotalCombustionEmissionsTCo2e]</v>
      </c>
    </row>
    <row r="309" spans="1:15" x14ac:dyDescent="0.3">
      <c r="A309" t="s">
        <v>2277</v>
      </c>
      <c r="B309" t="s">
        <v>1846</v>
      </c>
      <c r="C309" t="s">
        <v>1849</v>
      </c>
      <c r="D309">
        <v>20</v>
      </c>
      <c r="E309" t="s">
        <v>1447</v>
      </c>
      <c r="F309" t="s">
        <v>1853</v>
      </c>
      <c r="G309" t="s">
        <v>1806</v>
      </c>
      <c r="H309" t="s">
        <v>2279</v>
      </c>
      <c r="I309" t="s">
        <v>2279</v>
      </c>
      <c r="J309">
        <v>168887.14314506599</v>
      </c>
      <c r="K309" t="s">
        <v>2279</v>
      </c>
      <c r="L309" t="s">
        <v>2279</v>
      </c>
      <c r="M309" t="s">
        <v>2279</v>
      </c>
      <c r="N309" t="s">
        <v>2279</v>
      </c>
      <c r="O309" s="190" t="str">
        <f>"["&amp;$C309&amp;"]["&amp;$D309&amp;"]["&amp;$F309&amp;"]"</f>
        <v>[S05_AggregateTotalEmissionsByCRF][20][TotalCombustionEmissionsTCo2e]</v>
      </c>
    </row>
    <row r="310" spans="1:15" x14ac:dyDescent="0.3">
      <c r="A310" t="s">
        <v>2277</v>
      </c>
      <c r="B310" t="s">
        <v>1846</v>
      </c>
      <c r="C310" t="s">
        <v>1849</v>
      </c>
      <c r="D310">
        <v>21</v>
      </c>
      <c r="E310" t="s">
        <v>1447</v>
      </c>
      <c r="F310" t="s">
        <v>1853</v>
      </c>
      <c r="G310" t="s">
        <v>1806</v>
      </c>
      <c r="H310" t="s">
        <v>2279</v>
      </c>
      <c r="I310" t="s">
        <v>2279</v>
      </c>
      <c r="J310">
        <v>132409.63135103899</v>
      </c>
      <c r="K310" t="s">
        <v>2279</v>
      </c>
      <c r="L310" t="s">
        <v>2279</v>
      </c>
      <c r="M310" t="s">
        <v>2279</v>
      </c>
      <c r="N310" t="s">
        <v>2279</v>
      </c>
      <c r="O310" s="190" t="str">
        <f>"["&amp;$C310&amp;"]["&amp;$D310&amp;"]["&amp;$F310&amp;"]"</f>
        <v>[S05_AggregateTotalEmissionsByCRF][21][TotalCombustionEmissionsTCo2e]</v>
      </c>
    </row>
    <row r="311" spans="1:15" x14ac:dyDescent="0.3">
      <c r="A311" t="s">
        <v>2277</v>
      </c>
      <c r="B311" t="s">
        <v>1846</v>
      </c>
      <c r="C311" t="s">
        <v>1849</v>
      </c>
      <c r="D311">
        <v>22</v>
      </c>
      <c r="E311" t="s">
        <v>1447</v>
      </c>
      <c r="F311" t="s">
        <v>1853</v>
      </c>
      <c r="G311" t="s">
        <v>1806</v>
      </c>
      <c r="H311" t="s">
        <v>2279</v>
      </c>
      <c r="I311" t="s">
        <v>2279</v>
      </c>
      <c r="J311">
        <v>20783.852083074002</v>
      </c>
      <c r="K311" t="s">
        <v>2279</v>
      </c>
      <c r="L311" t="s">
        <v>2279</v>
      </c>
      <c r="M311" t="s">
        <v>2279</v>
      </c>
      <c r="N311" t="s">
        <v>2279</v>
      </c>
      <c r="O311" s="190" t="str">
        <f>"["&amp;$C311&amp;"]["&amp;$D311&amp;"]["&amp;$F311&amp;"]"</f>
        <v>[S05_AggregateTotalEmissionsByCRF][22][TotalCombustionEmissionsTCo2e]</v>
      </c>
    </row>
    <row r="312" spans="1:15" x14ac:dyDescent="0.3">
      <c r="A312" t="s">
        <v>2277</v>
      </c>
      <c r="B312" t="s">
        <v>1846</v>
      </c>
      <c r="C312" t="s">
        <v>1849</v>
      </c>
      <c r="D312">
        <v>23</v>
      </c>
      <c r="E312" t="s">
        <v>1447</v>
      </c>
      <c r="F312" t="s">
        <v>1853</v>
      </c>
      <c r="G312" t="s">
        <v>1806</v>
      </c>
      <c r="H312" t="s">
        <v>2279</v>
      </c>
      <c r="I312" t="s">
        <v>2279</v>
      </c>
      <c r="J312">
        <v>38779.427671525998</v>
      </c>
      <c r="K312" t="s">
        <v>2279</v>
      </c>
      <c r="L312" t="s">
        <v>2279</v>
      </c>
      <c r="M312" t="s">
        <v>2279</v>
      </c>
      <c r="N312" t="s">
        <v>2279</v>
      </c>
      <c r="O312" s="190" t="str">
        <f>"["&amp;$C312&amp;"]["&amp;$D312&amp;"]["&amp;$F312&amp;"]"</f>
        <v>[S05_AggregateTotalEmissionsByCRF][23][TotalCombustionEmissionsTCo2e]</v>
      </c>
    </row>
    <row r="313" spans="1:15" x14ac:dyDescent="0.3">
      <c r="A313" t="s">
        <v>2277</v>
      </c>
      <c r="B313" t="s">
        <v>1846</v>
      </c>
      <c r="C313" t="s">
        <v>1849</v>
      </c>
      <c r="D313">
        <v>24</v>
      </c>
      <c r="E313" t="s">
        <v>1447</v>
      </c>
      <c r="F313" t="s">
        <v>1853</v>
      </c>
      <c r="G313" t="s">
        <v>1806</v>
      </c>
      <c r="H313" t="s">
        <v>2279</v>
      </c>
      <c r="I313" t="s">
        <v>2279</v>
      </c>
      <c r="J313">
        <v>857550.11841159198</v>
      </c>
      <c r="K313" t="s">
        <v>2279</v>
      </c>
      <c r="L313" t="s">
        <v>2279</v>
      </c>
      <c r="M313" t="s">
        <v>2279</v>
      </c>
      <c r="N313" t="s">
        <v>2279</v>
      </c>
      <c r="O313" s="190" t="str">
        <f>"["&amp;$C313&amp;"]["&amp;$D313&amp;"]["&amp;$F313&amp;"]"</f>
        <v>[S05_AggregateTotalEmissionsByCRF][24][TotalCombustionEmissionsTCo2e]</v>
      </c>
    </row>
    <row r="314" spans="1:15" x14ac:dyDescent="0.3">
      <c r="A314" t="s">
        <v>2277</v>
      </c>
      <c r="B314" t="s">
        <v>1846</v>
      </c>
      <c r="C314" t="s">
        <v>1849</v>
      </c>
      <c r="D314">
        <v>25</v>
      </c>
      <c r="E314" t="s">
        <v>1447</v>
      </c>
      <c r="F314" t="s">
        <v>1853</v>
      </c>
      <c r="G314" t="s">
        <v>1806</v>
      </c>
      <c r="H314" t="s">
        <v>2279</v>
      </c>
      <c r="I314" t="s">
        <v>2279</v>
      </c>
      <c r="J314">
        <v>287143.960461954</v>
      </c>
      <c r="K314" t="s">
        <v>2279</v>
      </c>
      <c r="L314" t="s">
        <v>2279</v>
      </c>
      <c r="M314" t="s">
        <v>2279</v>
      </c>
      <c r="N314" t="s">
        <v>2279</v>
      </c>
      <c r="O314" s="190" t="str">
        <f>"["&amp;$C314&amp;"]["&amp;$D314&amp;"]["&amp;$F314&amp;"]"</f>
        <v>[S05_AggregateTotalEmissionsByCRF][25][TotalCombustionEmissionsTCo2e]</v>
      </c>
    </row>
    <row r="315" spans="1:15" x14ac:dyDescent="0.3">
      <c r="A315" t="s">
        <v>2277</v>
      </c>
      <c r="B315" t="s">
        <v>1846</v>
      </c>
      <c r="C315" t="s">
        <v>1849</v>
      </c>
      <c r="D315">
        <v>26</v>
      </c>
      <c r="E315" t="s">
        <v>1447</v>
      </c>
      <c r="F315" t="s">
        <v>1853</v>
      </c>
      <c r="G315" t="s">
        <v>1806</v>
      </c>
      <c r="H315" t="s">
        <v>2279</v>
      </c>
      <c r="I315" t="s">
        <v>2279</v>
      </c>
      <c r="J315">
        <v>312491.48814331298</v>
      </c>
      <c r="K315" t="s">
        <v>2279</v>
      </c>
      <c r="L315" t="s">
        <v>2279</v>
      </c>
      <c r="M315" t="s">
        <v>2279</v>
      </c>
      <c r="N315" t="s">
        <v>2279</v>
      </c>
      <c r="O315" s="190" t="str">
        <f>"["&amp;$C315&amp;"]["&amp;$D315&amp;"]["&amp;$F315&amp;"]"</f>
        <v>[S05_AggregateTotalEmissionsByCRF][26][TotalCombustionEmissionsTCo2e]</v>
      </c>
    </row>
    <row r="316" spans="1:15" x14ac:dyDescent="0.3">
      <c r="A316" t="s">
        <v>2277</v>
      </c>
      <c r="B316" t="s">
        <v>1846</v>
      </c>
      <c r="C316" t="s">
        <v>1849</v>
      </c>
      <c r="D316">
        <v>27</v>
      </c>
      <c r="E316" t="s">
        <v>1447</v>
      </c>
      <c r="F316" t="s">
        <v>1853</v>
      </c>
      <c r="G316" t="s">
        <v>1806</v>
      </c>
      <c r="H316" t="s">
        <v>2279</v>
      </c>
      <c r="I316" t="s">
        <v>2279</v>
      </c>
      <c r="J316">
        <v>346152.55647808098</v>
      </c>
      <c r="K316" t="s">
        <v>2279</v>
      </c>
      <c r="L316" t="s">
        <v>2279</v>
      </c>
      <c r="M316" t="s">
        <v>2279</v>
      </c>
      <c r="N316" t="s">
        <v>2279</v>
      </c>
      <c r="O316" s="190" t="str">
        <f>"["&amp;$C316&amp;"]["&amp;$D316&amp;"]["&amp;$F316&amp;"]"</f>
        <v>[S05_AggregateTotalEmissionsByCRF][27][TotalCombustionEmissionsTCo2e]</v>
      </c>
    </row>
    <row r="317" spans="1:15" x14ac:dyDescent="0.3">
      <c r="A317" t="s">
        <v>2277</v>
      </c>
      <c r="B317" t="s">
        <v>1846</v>
      </c>
      <c r="C317" t="s">
        <v>1849</v>
      </c>
      <c r="D317">
        <v>28</v>
      </c>
      <c r="E317" t="s">
        <v>1447</v>
      </c>
      <c r="F317" t="s">
        <v>1853</v>
      </c>
      <c r="G317" t="s">
        <v>1806</v>
      </c>
      <c r="H317" t="s">
        <v>2279</v>
      </c>
      <c r="I317" t="s">
        <v>2279</v>
      </c>
      <c r="J317">
        <v>166107.163897149</v>
      </c>
      <c r="K317" t="s">
        <v>2279</v>
      </c>
      <c r="L317" t="s">
        <v>2279</v>
      </c>
      <c r="M317" t="s">
        <v>2279</v>
      </c>
      <c r="N317" t="s">
        <v>2279</v>
      </c>
      <c r="O317" s="190" t="str">
        <f>"["&amp;$C317&amp;"]["&amp;$D317&amp;"]["&amp;$F317&amp;"]"</f>
        <v>[S05_AggregateTotalEmissionsByCRF][28][TotalCombustionEmissionsTCo2e]</v>
      </c>
    </row>
    <row r="318" spans="1:15" x14ac:dyDescent="0.3">
      <c r="A318" t="s">
        <v>2277</v>
      </c>
      <c r="B318" t="s">
        <v>1846</v>
      </c>
      <c r="C318" t="s">
        <v>1849</v>
      </c>
      <c r="D318">
        <v>29</v>
      </c>
      <c r="E318" t="s">
        <v>1447</v>
      </c>
      <c r="F318" t="s">
        <v>1853</v>
      </c>
      <c r="G318" t="s">
        <v>1806</v>
      </c>
      <c r="H318" t="s">
        <v>2279</v>
      </c>
      <c r="I318" t="s">
        <v>2279</v>
      </c>
      <c r="J318">
        <v>22456.784259832501</v>
      </c>
      <c r="K318" t="s">
        <v>2279</v>
      </c>
      <c r="L318" t="s">
        <v>2279</v>
      </c>
      <c r="M318" t="s">
        <v>2279</v>
      </c>
      <c r="N318" t="s">
        <v>2279</v>
      </c>
      <c r="O318" s="190" t="str">
        <f>"["&amp;$C318&amp;"]["&amp;$D318&amp;"]["&amp;$F318&amp;"]"</f>
        <v>[S05_AggregateTotalEmissionsByCRF][29][TotalCombustionEmissionsTCo2e]</v>
      </c>
    </row>
    <row r="319" spans="1:15" x14ac:dyDescent="0.3">
      <c r="A319" t="s">
        <v>2277</v>
      </c>
      <c r="B319" t="s">
        <v>1846</v>
      </c>
      <c r="C319" t="s">
        <v>1849</v>
      </c>
      <c r="D319">
        <v>30</v>
      </c>
      <c r="E319" t="s">
        <v>1447</v>
      </c>
      <c r="F319" t="s">
        <v>1853</v>
      </c>
      <c r="G319" t="s">
        <v>1806</v>
      </c>
      <c r="H319" t="s">
        <v>2279</v>
      </c>
      <c r="I319" t="s">
        <v>2279</v>
      </c>
      <c r="J319">
        <v>5836.0986032849996</v>
      </c>
      <c r="K319" t="s">
        <v>2279</v>
      </c>
      <c r="L319" t="s">
        <v>2279</v>
      </c>
      <c r="M319" t="s">
        <v>2279</v>
      </c>
      <c r="N319" t="s">
        <v>2279</v>
      </c>
      <c r="O319" s="190" t="str">
        <f>"["&amp;$C319&amp;"]["&amp;$D319&amp;"]["&amp;$F319&amp;"]"</f>
        <v>[S05_AggregateTotalEmissionsByCRF][30][TotalCombustionEmissionsTCo2e]</v>
      </c>
    </row>
    <row r="320" spans="1:15" x14ac:dyDescent="0.3">
      <c r="A320" t="s">
        <v>2277</v>
      </c>
      <c r="B320" t="s">
        <v>1846</v>
      </c>
      <c r="C320" t="s">
        <v>1849</v>
      </c>
      <c r="D320">
        <v>31</v>
      </c>
      <c r="E320" t="s">
        <v>1447</v>
      </c>
      <c r="F320" t="s">
        <v>1853</v>
      </c>
      <c r="G320" t="s">
        <v>1806</v>
      </c>
      <c r="H320" t="s">
        <v>2279</v>
      </c>
      <c r="I320" t="s">
        <v>2279</v>
      </c>
      <c r="J320">
        <v>0</v>
      </c>
      <c r="K320" t="s">
        <v>2279</v>
      </c>
      <c r="L320" t="s">
        <v>2279</v>
      </c>
      <c r="M320" t="s">
        <v>2279</v>
      </c>
      <c r="N320" t="s">
        <v>2279</v>
      </c>
      <c r="O320" s="190" t="str">
        <f>"["&amp;$C320&amp;"]["&amp;$D320&amp;"]["&amp;$F320&amp;"]"</f>
        <v>[S05_AggregateTotalEmissionsByCRF][31][TotalCombustionEmissionsTCo2e]</v>
      </c>
    </row>
    <row r="321" spans="1:15" x14ac:dyDescent="0.3">
      <c r="A321" t="s">
        <v>2277</v>
      </c>
      <c r="B321" t="s">
        <v>1846</v>
      </c>
      <c r="C321" t="s">
        <v>1849</v>
      </c>
      <c r="D321">
        <v>32</v>
      </c>
      <c r="E321" t="s">
        <v>1447</v>
      </c>
      <c r="F321" t="s">
        <v>1853</v>
      </c>
      <c r="G321" t="s">
        <v>1806</v>
      </c>
      <c r="H321" t="s">
        <v>2279</v>
      </c>
      <c r="I321" t="s">
        <v>2279</v>
      </c>
      <c r="J321">
        <v>39630.309604324</v>
      </c>
      <c r="K321" t="s">
        <v>2279</v>
      </c>
      <c r="L321" t="s">
        <v>2279</v>
      </c>
      <c r="M321" t="s">
        <v>2279</v>
      </c>
      <c r="N321" t="s">
        <v>2279</v>
      </c>
      <c r="O321" s="190" t="str">
        <f>"["&amp;$C321&amp;"]["&amp;$D321&amp;"]["&amp;$F321&amp;"]"</f>
        <v>[S05_AggregateTotalEmissionsByCRF][32][TotalCombustionEmissionsTCo2e]</v>
      </c>
    </row>
    <row r="322" spans="1:15" x14ac:dyDescent="0.3">
      <c r="A322" t="s">
        <v>2277</v>
      </c>
      <c r="B322" t="s">
        <v>1846</v>
      </c>
      <c r="C322" t="s">
        <v>1849</v>
      </c>
      <c r="D322">
        <v>33</v>
      </c>
      <c r="E322" t="s">
        <v>1447</v>
      </c>
      <c r="F322" t="s">
        <v>1853</v>
      </c>
      <c r="G322" t="s">
        <v>1806</v>
      </c>
      <c r="H322" t="s">
        <v>2279</v>
      </c>
      <c r="I322" t="s">
        <v>2279</v>
      </c>
      <c r="J322">
        <v>25315.297310579499</v>
      </c>
      <c r="K322" t="s">
        <v>2279</v>
      </c>
      <c r="L322" t="s">
        <v>2279</v>
      </c>
      <c r="M322" t="s">
        <v>2279</v>
      </c>
      <c r="N322" t="s">
        <v>2279</v>
      </c>
      <c r="O322" s="190" t="str">
        <f>"["&amp;$C322&amp;"]["&amp;$D322&amp;"]["&amp;$F322&amp;"]"</f>
        <v>[S05_AggregateTotalEmissionsByCRF][33][TotalCombustionEmissionsTCo2e]</v>
      </c>
    </row>
    <row r="323" spans="1:15" x14ac:dyDescent="0.3">
      <c r="A323" t="s">
        <v>2277</v>
      </c>
      <c r="B323" t="s">
        <v>1846</v>
      </c>
      <c r="C323" t="s">
        <v>1849</v>
      </c>
      <c r="D323">
        <v>34</v>
      </c>
      <c r="E323" t="s">
        <v>1447</v>
      </c>
      <c r="F323" t="s">
        <v>1853</v>
      </c>
      <c r="G323" t="s">
        <v>1806</v>
      </c>
      <c r="H323" t="s">
        <v>2279</v>
      </c>
      <c r="I323" t="s">
        <v>2279</v>
      </c>
      <c r="J323">
        <v>26869.874775213499</v>
      </c>
      <c r="K323" t="s">
        <v>2279</v>
      </c>
      <c r="L323" t="s">
        <v>2279</v>
      </c>
      <c r="M323" t="s">
        <v>2279</v>
      </c>
      <c r="N323" t="s">
        <v>2279</v>
      </c>
      <c r="O323" s="190" t="str">
        <f>"["&amp;$C323&amp;"]["&amp;$D323&amp;"]["&amp;$F323&amp;"]"</f>
        <v>[S05_AggregateTotalEmissionsByCRF][34][TotalCombustionEmissionsTCo2e]</v>
      </c>
    </row>
    <row r="324" spans="1:15" x14ac:dyDescent="0.3">
      <c r="A324" t="s">
        <v>2277</v>
      </c>
      <c r="B324" t="s">
        <v>1846</v>
      </c>
      <c r="C324" t="s">
        <v>1849</v>
      </c>
      <c r="D324">
        <v>35</v>
      </c>
      <c r="E324" t="s">
        <v>1447</v>
      </c>
      <c r="F324" t="s">
        <v>1853</v>
      </c>
      <c r="G324" t="s">
        <v>1806</v>
      </c>
      <c r="H324" t="s">
        <v>2279</v>
      </c>
      <c r="I324" t="s">
        <v>2279</v>
      </c>
      <c r="J324">
        <v>223954.21751693101</v>
      </c>
      <c r="K324" t="s">
        <v>2279</v>
      </c>
      <c r="L324" t="s">
        <v>2279</v>
      </c>
      <c r="M324" t="s">
        <v>2279</v>
      </c>
      <c r="N324" t="s">
        <v>2279</v>
      </c>
      <c r="O324" s="190" t="str">
        <f>"["&amp;$C324&amp;"]["&amp;$D324&amp;"]["&amp;$F324&amp;"]"</f>
        <v>[S05_AggregateTotalEmissionsByCRF][35][TotalCombustionEmissionsTCo2e]</v>
      </c>
    </row>
    <row r="325" spans="1:15" x14ac:dyDescent="0.3">
      <c r="A325" t="s">
        <v>2277</v>
      </c>
      <c r="B325" t="s">
        <v>1846</v>
      </c>
      <c r="C325" t="s">
        <v>1849</v>
      </c>
      <c r="D325">
        <v>36</v>
      </c>
      <c r="E325" t="s">
        <v>1447</v>
      </c>
      <c r="F325" t="s">
        <v>1853</v>
      </c>
      <c r="G325" t="s">
        <v>1806</v>
      </c>
      <c r="H325" t="s">
        <v>2279</v>
      </c>
      <c r="I325" t="s">
        <v>2279</v>
      </c>
      <c r="J325">
        <v>45328.647551220798</v>
      </c>
      <c r="K325" t="s">
        <v>2279</v>
      </c>
      <c r="L325" t="s">
        <v>2279</v>
      </c>
      <c r="M325" t="s">
        <v>2279</v>
      </c>
      <c r="N325" t="s">
        <v>2279</v>
      </c>
      <c r="O325" s="190" t="str">
        <f>"["&amp;$C325&amp;"]["&amp;$D325&amp;"]["&amp;$F325&amp;"]"</f>
        <v>[S05_AggregateTotalEmissionsByCRF][36][TotalCombustionEmissionsTCo2e]</v>
      </c>
    </row>
    <row r="326" spans="1:15" x14ac:dyDescent="0.3">
      <c r="A326" t="s">
        <v>2277</v>
      </c>
      <c r="B326" t="s">
        <v>1846</v>
      </c>
      <c r="C326" t="s">
        <v>1849</v>
      </c>
      <c r="D326">
        <v>37</v>
      </c>
      <c r="E326" t="s">
        <v>1447</v>
      </c>
      <c r="F326" t="s">
        <v>1853</v>
      </c>
      <c r="G326" t="s">
        <v>1806</v>
      </c>
      <c r="H326" t="s">
        <v>2279</v>
      </c>
      <c r="I326" t="s">
        <v>2279</v>
      </c>
      <c r="J326">
        <v>28684.639077857501</v>
      </c>
      <c r="K326" t="s">
        <v>2279</v>
      </c>
      <c r="L326" t="s">
        <v>2279</v>
      </c>
      <c r="M326" t="s">
        <v>2279</v>
      </c>
      <c r="N326" t="s">
        <v>2279</v>
      </c>
      <c r="O326" s="190" t="str">
        <f>"["&amp;$C326&amp;"]["&amp;$D326&amp;"]["&amp;$F326&amp;"]"</f>
        <v>[S05_AggregateTotalEmissionsByCRF][37][TotalCombustionEmissionsTCo2e]</v>
      </c>
    </row>
    <row r="327" spans="1:15" x14ac:dyDescent="0.3">
      <c r="A327" t="s">
        <v>2277</v>
      </c>
      <c r="B327" t="s">
        <v>1846</v>
      </c>
      <c r="C327" t="s">
        <v>1849</v>
      </c>
      <c r="D327">
        <v>38</v>
      </c>
      <c r="E327" t="s">
        <v>1447</v>
      </c>
      <c r="F327" t="s">
        <v>1853</v>
      </c>
      <c r="G327" t="s">
        <v>1806</v>
      </c>
      <c r="H327" t="s">
        <v>2279</v>
      </c>
      <c r="I327" t="s">
        <v>2279</v>
      </c>
      <c r="J327">
        <v>39744.551942496902</v>
      </c>
      <c r="K327" t="s">
        <v>2279</v>
      </c>
      <c r="L327" t="s">
        <v>2279</v>
      </c>
      <c r="M327" t="s">
        <v>2279</v>
      </c>
      <c r="N327" t="s">
        <v>2279</v>
      </c>
      <c r="O327" s="190" t="str">
        <f>"["&amp;$C327&amp;"]["&amp;$D327&amp;"]["&amp;$F327&amp;"]"</f>
        <v>[S05_AggregateTotalEmissionsByCRF][38][TotalCombustionEmissionsTCo2e]</v>
      </c>
    </row>
    <row r="328" spans="1:15" x14ac:dyDescent="0.3">
      <c r="A328" t="s">
        <v>2277</v>
      </c>
      <c r="B328" t="s">
        <v>1846</v>
      </c>
      <c r="C328" t="s">
        <v>1849</v>
      </c>
      <c r="D328">
        <v>39</v>
      </c>
      <c r="E328" t="s">
        <v>1447</v>
      </c>
      <c r="F328" t="s">
        <v>1853</v>
      </c>
      <c r="G328" t="s">
        <v>1806</v>
      </c>
      <c r="H328" t="s">
        <v>2279</v>
      </c>
      <c r="I328" t="s">
        <v>2279</v>
      </c>
      <c r="J328">
        <v>24011.290816182998</v>
      </c>
      <c r="K328" t="s">
        <v>2279</v>
      </c>
      <c r="L328" t="s">
        <v>2279</v>
      </c>
      <c r="M328" t="s">
        <v>2279</v>
      </c>
      <c r="N328" t="s">
        <v>2279</v>
      </c>
      <c r="O328" s="190" t="str">
        <f>"["&amp;$C328&amp;"]["&amp;$D328&amp;"]["&amp;$F328&amp;"]"</f>
        <v>[S05_AggregateTotalEmissionsByCRF][39][TotalCombustionEmissionsTCo2e]</v>
      </c>
    </row>
    <row r="329" spans="1:15" x14ac:dyDescent="0.3">
      <c r="A329" t="s">
        <v>2277</v>
      </c>
      <c r="B329" t="s">
        <v>1846</v>
      </c>
      <c r="C329" t="s">
        <v>1849</v>
      </c>
      <c r="D329">
        <v>40</v>
      </c>
      <c r="E329" t="s">
        <v>1447</v>
      </c>
      <c r="F329" t="s">
        <v>1853</v>
      </c>
      <c r="G329" t="s">
        <v>1806</v>
      </c>
      <c r="H329" t="s">
        <v>2279</v>
      </c>
      <c r="I329" t="s">
        <v>2279</v>
      </c>
      <c r="J329">
        <v>0</v>
      </c>
      <c r="K329" t="s">
        <v>2279</v>
      </c>
      <c r="L329" t="s">
        <v>2279</v>
      </c>
      <c r="M329" t="s">
        <v>2279</v>
      </c>
      <c r="N329" t="s">
        <v>2279</v>
      </c>
      <c r="O329" s="190" t="str">
        <f>"["&amp;$C329&amp;"]["&amp;$D329&amp;"]["&amp;$F329&amp;"]"</f>
        <v>[S05_AggregateTotalEmissionsByCRF][40][TotalCombustionEmissionsTCo2e]</v>
      </c>
    </row>
    <row r="330" spans="1:15" x14ac:dyDescent="0.3">
      <c r="A330" t="s">
        <v>2277</v>
      </c>
      <c r="B330" t="s">
        <v>1846</v>
      </c>
      <c r="C330" t="s">
        <v>1849</v>
      </c>
      <c r="D330">
        <v>41</v>
      </c>
      <c r="E330" t="s">
        <v>1447</v>
      </c>
      <c r="F330" t="s">
        <v>1853</v>
      </c>
      <c r="G330" t="s">
        <v>1806</v>
      </c>
      <c r="H330" t="s">
        <v>2279</v>
      </c>
      <c r="I330" t="s">
        <v>2279</v>
      </c>
      <c r="J330">
        <v>2018352.9454419599</v>
      </c>
      <c r="K330" t="s">
        <v>2279</v>
      </c>
      <c r="L330" t="s">
        <v>2279</v>
      </c>
      <c r="M330" t="s">
        <v>2279</v>
      </c>
      <c r="N330" t="s">
        <v>2279</v>
      </c>
      <c r="O330" s="190" t="str">
        <f>"["&amp;$C330&amp;"]["&amp;$D330&amp;"]["&amp;$F330&amp;"]"</f>
        <v>[S05_AggregateTotalEmissionsByCRF][41][TotalCombustionEmissionsTCo2e]</v>
      </c>
    </row>
    <row r="331" spans="1:15" x14ac:dyDescent="0.3">
      <c r="A331" t="s">
        <v>2277</v>
      </c>
      <c r="B331" t="s">
        <v>1846</v>
      </c>
      <c r="C331" t="s">
        <v>1849</v>
      </c>
      <c r="D331">
        <v>42</v>
      </c>
      <c r="E331" t="s">
        <v>1447</v>
      </c>
      <c r="F331" t="s">
        <v>1853</v>
      </c>
      <c r="G331" t="s">
        <v>1806</v>
      </c>
      <c r="H331" t="s">
        <v>2279</v>
      </c>
      <c r="I331" t="s">
        <v>2279</v>
      </c>
      <c r="J331">
        <v>0</v>
      </c>
      <c r="K331" t="s">
        <v>2279</v>
      </c>
      <c r="L331" t="s">
        <v>2279</v>
      </c>
      <c r="M331" t="s">
        <v>2279</v>
      </c>
      <c r="N331" t="s">
        <v>2279</v>
      </c>
      <c r="O331" s="190" t="str">
        <f>"["&amp;$C331&amp;"]["&amp;$D331&amp;"]["&amp;$F331&amp;"]"</f>
        <v>[S05_AggregateTotalEmissionsByCRF][42][TotalCombustionEmissionsTCo2e]</v>
      </c>
    </row>
    <row r="332" spans="1:15" x14ac:dyDescent="0.3">
      <c r="A332" t="s">
        <v>2277</v>
      </c>
      <c r="B332" t="s">
        <v>1846</v>
      </c>
      <c r="C332" t="s">
        <v>1849</v>
      </c>
      <c r="D332">
        <v>1</v>
      </c>
      <c r="E332" t="s">
        <v>1447</v>
      </c>
      <c r="F332" t="s">
        <v>1854</v>
      </c>
      <c r="G332" t="s">
        <v>1806</v>
      </c>
      <c r="H332" t="s">
        <v>2279</v>
      </c>
      <c r="I332" t="s">
        <v>2279</v>
      </c>
      <c r="J332">
        <v>390838.687310051</v>
      </c>
      <c r="K332" t="s">
        <v>2279</v>
      </c>
      <c r="L332" t="s">
        <v>2279</v>
      </c>
      <c r="M332" t="s">
        <v>2279</v>
      </c>
      <c r="N332" t="s">
        <v>2279</v>
      </c>
      <c r="O332" s="190" t="str">
        <f>"["&amp;$C332&amp;"]["&amp;$D332&amp;"]["&amp;$F332&amp;"]"</f>
        <v>[S05_AggregateTotalEmissionsByCRF][1][TotalProcessEmissionsTCo2e]</v>
      </c>
    </row>
    <row r="333" spans="1:15" x14ac:dyDescent="0.3">
      <c r="A333" t="s">
        <v>2277</v>
      </c>
      <c r="B333" t="s">
        <v>1846</v>
      </c>
      <c r="C333" t="s">
        <v>1849</v>
      </c>
      <c r="D333">
        <v>2</v>
      </c>
      <c r="E333" t="s">
        <v>1447</v>
      </c>
      <c r="F333" t="s">
        <v>1854</v>
      </c>
      <c r="G333" t="s">
        <v>1806</v>
      </c>
      <c r="H333" t="s">
        <v>2279</v>
      </c>
      <c r="I333" t="s">
        <v>2279</v>
      </c>
      <c r="J333">
        <v>79570.586961183799</v>
      </c>
      <c r="K333" t="s">
        <v>2279</v>
      </c>
      <c r="L333" t="s">
        <v>2279</v>
      </c>
      <c r="M333" t="s">
        <v>2279</v>
      </c>
      <c r="N333" t="s">
        <v>2279</v>
      </c>
      <c r="O333" s="190" t="str">
        <f>"["&amp;$C333&amp;"]["&amp;$D333&amp;"]["&amp;$F333&amp;"]"</f>
        <v>[S05_AggregateTotalEmissionsByCRF][2][TotalProcessEmissionsTCo2e]</v>
      </c>
    </row>
    <row r="334" spans="1:15" x14ac:dyDescent="0.3">
      <c r="A334" t="s">
        <v>2277</v>
      </c>
      <c r="B334" t="s">
        <v>1846</v>
      </c>
      <c r="C334" t="s">
        <v>1849</v>
      </c>
      <c r="D334">
        <v>3</v>
      </c>
      <c r="E334" t="s">
        <v>1447</v>
      </c>
      <c r="F334" t="s">
        <v>1854</v>
      </c>
      <c r="G334" t="s">
        <v>1806</v>
      </c>
      <c r="H334" t="s">
        <v>2279</v>
      </c>
      <c r="I334" t="s">
        <v>2279</v>
      </c>
      <c r="J334">
        <v>79745.968351814197</v>
      </c>
      <c r="K334" t="s">
        <v>2279</v>
      </c>
      <c r="L334" t="s">
        <v>2279</v>
      </c>
      <c r="M334" t="s">
        <v>2279</v>
      </c>
      <c r="N334" t="s">
        <v>2279</v>
      </c>
      <c r="O334" s="190" t="str">
        <f>"["&amp;$C334&amp;"]["&amp;$D334&amp;"]["&amp;$F334&amp;"]"</f>
        <v>[S05_AggregateTotalEmissionsByCRF][3][TotalProcessEmissionsTCo2e]</v>
      </c>
    </row>
    <row r="335" spans="1:15" x14ac:dyDescent="0.3">
      <c r="A335" t="s">
        <v>2277</v>
      </c>
      <c r="B335" t="s">
        <v>1846</v>
      </c>
      <c r="C335" t="s">
        <v>1849</v>
      </c>
      <c r="D335">
        <v>4</v>
      </c>
      <c r="E335" t="s">
        <v>1447</v>
      </c>
      <c r="F335" t="s">
        <v>1854</v>
      </c>
      <c r="G335" t="s">
        <v>1806</v>
      </c>
      <c r="H335" t="s">
        <v>2279</v>
      </c>
      <c r="I335" t="s">
        <v>2279</v>
      </c>
      <c r="J335">
        <v>4037.3060384999999</v>
      </c>
      <c r="K335" t="s">
        <v>2279</v>
      </c>
      <c r="L335" t="s">
        <v>2279</v>
      </c>
      <c r="M335" t="s">
        <v>2279</v>
      </c>
      <c r="N335" t="s">
        <v>2279</v>
      </c>
      <c r="O335" s="190" t="str">
        <f>"["&amp;$C335&amp;"]["&amp;$D335&amp;"]["&amp;$F335&amp;"]"</f>
        <v>[S05_AggregateTotalEmissionsByCRF][4][TotalProcessEmissionsTCo2e]</v>
      </c>
    </row>
    <row r="336" spans="1:15" x14ac:dyDescent="0.3">
      <c r="A336" t="s">
        <v>2277</v>
      </c>
      <c r="B336" t="s">
        <v>1846</v>
      </c>
      <c r="C336" t="s">
        <v>1849</v>
      </c>
      <c r="D336">
        <v>5</v>
      </c>
      <c r="E336" t="s">
        <v>1447</v>
      </c>
      <c r="F336" t="s">
        <v>1854</v>
      </c>
      <c r="G336" t="s">
        <v>1806</v>
      </c>
      <c r="H336" t="s">
        <v>2279</v>
      </c>
      <c r="I336" t="s">
        <v>2279</v>
      </c>
      <c r="J336">
        <v>0</v>
      </c>
      <c r="K336" t="s">
        <v>2279</v>
      </c>
      <c r="L336" t="s">
        <v>2279</v>
      </c>
      <c r="M336" t="s">
        <v>2279</v>
      </c>
      <c r="N336" t="s">
        <v>2279</v>
      </c>
      <c r="O336" s="190" t="str">
        <f>"["&amp;$C336&amp;"]["&amp;$D336&amp;"]["&amp;$F336&amp;"]"</f>
        <v>[S05_AggregateTotalEmissionsByCRF][5][TotalProcessEmissionsTCo2e]</v>
      </c>
    </row>
    <row r="337" spans="1:15" x14ac:dyDescent="0.3">
      <c r="A337" t="s">
        <v>2277</v>
      </c>
      <c r="B337" t="s">
        <v>1846</v>
      </c>
      <c r="C337" t="s">
        <v>1849</v>
      </c>
      <c r="D337">
        <v>6</v>
      </c>
      <c r="E337" t="s">
        <v>1447</v>
      </c>
      <c r="F337" t="s">
        <v>1854</v>
      </c>
      <c r="G337" t="s">
        <v>1806</v>
      </c>
      <c r="H337" t="s">
        <v>2279</v>
      </c>
      <c r="I337" t="s">
        <v>2279</v>
      </c>
      <c r="J337">
        <v>0</v>
      </c>
      <c r="K337" t="s">
        <v>2279</v>
      </c>
      <c r="L337" t="s">
        <v>2279</v>
      </c>
      <c r="M337" t="s">
        <v>2279</v>
      </c>
      <c r="N337" t="s">
        <v>2279</v>
      </c>
      <c r="O337" s="190" t="str">
        <f>"["&amp;$C337&amp;"]["&amp;$D337&amp;"]["&amp;$F337&amp;"]"</f>
        <v>[S05_AggregateTotalEmissionsByCRF][6][TotalProcessEmissionsTCo2e]</v>
      </c>
    </row>
    <row r="338" spans="1:15" x14ac:dyDescent="0.3">
      <c r="A338" t="s">
        <v>2277</v>
      </c>
      <c r="B338" t="s">
        <v>1846</v>
      </c>
      <c r="C338" t="s">
        <v>1849</v>
      </c>
      <c r="D338">
        <v>7</v>
      </c>
      <c r="E338" t="s">
        <v>1447</v>
      </c>
      <c r="F338" t="s">
        <v>1854</v>
      </c>
      <c r="G338" t="s">
        <v>1806</v>
      </c>
      <c r="H338" t="s">
        <v>2279</v>
      </c>
      <c r="I338" t="s">
        <v>2279</v>
      </c>
      <c r="J338">
        <v>0</v>
      </c>
      <c r="K338" t="s">
        <v>2279</v>
      </c>
      <c r="L338" t="s">
        <v>2279</v>
      </c>
      <c r="M338" t="s">
        <v>2279</v>
      </c>
      <c r="N338" t="s">
        <v>2279</v>
      </c>
      <c r="O338" s="190" t="str">
        <f>"["&amp;$C338&amp;"]["&amp;$D338&amp;"]["&amp;$F338&amp;"]"</f>
        <v>[S05_AggregateTotalEmissionsByCRF][7][TotalProcessEmissionsTCo2e]</v>
      </c>
    </row>
    <row r="339" spans="1:15" x14ac:dyDescent="0.3">
      <c r="A339" t="s">
        <v>2277</v>
      </c>
      <c r="B339" t="s">
        <v>1846</v>
      </c>
      <c r="C339" t="s">
        <v>1849</v>
      </c>
      <c r="D339">
        <v>8</v>
      </c>
      <c r="E339" t="s">
        <v>1447</v>
      </c>
      <c r="F339" t="s">
        <v>1854</v>
      </c>
      <c r="G339" t="s">
        <v>1806</v>
      </c>
      <c r="H339" t="s">
        <v>2279</v>
      </c>
      <c r="I339" t="s">
        <v>2279</v>
      </c>
      <c r="J339">
        <v>2194.6495484255802</v>
      </c>
      <c r="K339" t="s">
        <v>2279</v>
      </c>
      <c r="L339" t="s">
        <v>2279</v>
      </c>
      <c r="M339" t="s">
        <v>2279</v>
      </c>
      <c r="N339" t="s">
        <v>2279</v>
      </c>
      <c r="O339" s="190" t="str">
        <f>"["&amp;$C339&amp;"]["&amp;$D339&amp;"]["&amp;$F339&amp;"]"</f>
        <v>[S05_AggregateTotalEmissionsByCRF][8][TotalProcessEmissionsTCo2e]</v>
      </c>
    </row>
    <row r="340" spans="1:15" x14ac:dyDescent="0.3">
      <c r="A340" t="s">
        <v>2277</v>
      </c>
      <c r="B340" t="s">
        <v>1846</v>
      </c>
      <c r="C340" t="s">
        <v>1849</v>
      </c>
      <c r="D340">
        <v>9</v>
      </c>
      <c r="E340" t="s">
        <v>1447</v>
      </c>
      <c r="F340" t="s">
        <v>1854</v>
      </c>
      <c r="G340" t="s">
        <v>1806</v>
      </c>
      <c r="H340" t="s">
        <v>2279</v>
      </c>
      <c r="I340" t="s">
        <v>2279</v>
      </c>
      <c r="J340">
        <v>0</v>
      </c>
      <c r="K340" t="s">
        <v>2279</v>
      </c>
      <c r="L340" t="s">
        <v>2279</v>
      </c>
      <c r="M340" t="s">
        <v>2279</v>
      </c>
      <c r="N340" t="s">
        <v>2279</v>
      </c>
      <c r="O340" s="190" t="str">
        <f>"["&amp;$C340&amp;"]["&amp;$D340&amp;"]["&amp;$F340&amp;"]"</f>
        <v>[S05_AggregateTotalEmissionsByCRF][9][TotalProcessEmissionsTCo2e]</v>
      </c>
    </row>
    <row r="341" spans="1:15" x14ac:dyDescent="0.3">
      <c r="A341" t="s">
        <v>2277</v>
      </c>
      <c r="B341" t="s">
        <v>1846</v>
      </c>
      <c r="C341" t="s">
        <v>1849</v>
      </c>
      <c r="D341">
        <v>10</v>
      </c>
      <c r="E341" t="s">
        <v>1447</v>
      </c>
      <c r="F341" t="s">
        <v>1854</v>
      </c>
      <c r="G341" t="s">
        <v>1806</v>
      </c>
      <c r="H341" t="s">
        <v>2279</v>
      </c>
      <c r="I341" t="s">
        <v>2279</v>
      </c>
      <c r="J341">
        <v>541310.81918855896</v>
      </c>
      <c r="K341" t="s">
        <v>2279</v>
      </c>
      <c r="L341" t="s">
        <v>2279</v>
      </c>
      <c r="M341" t="s">
        <v>2279</v>
      </c>
      <c r="N341" t="s">
        <v>2279</v>
      </c>
      <c r="O341" s="190" t="str">
        <f>"["&amp;$C341&amp;"]["&amp;$D341&amp;"]["&amp;$F341&amp;"]"</f>
        <v>[S05_AggregateTotalEmissionsByCRF][10][TotalProcessEmissionsTCo2e]</v>
      </c>
    </row>
    <row r="342" spans="1:15" x14ac:dyDescent="0.3">
      <c r="A342" t="s">
        <v>2277</v>
      </c>
      <c r="B342" t="s">
        <v>1846</v>
      </c>
      <c r="C342" t="s">
        <v>1849</v>
      </c>
      <c r="D342">
        <v>11</v>
      </c>
      <c r="E342" t="s">
        <v>1447</v>
      </c>
      <c r="F342" t="s">
        <v>1854</v>
      </c>
      <c r="G342" t="s">
        <v>1806</v>
      </c>
      <c r="H342" t="s">
        <v>2279</v>
      </c>
      <c r="I342" t="s">
        <v>2279</v>
      </c>
      <c r="J342">
        <v>0</v>
      </c>
      <c r="K342" t="s">
        <v>2279</v>
      </c>
      <c r="L342" t="s">
        <v>2279</v>
      </c>
      <c r="M342" t="s">
        <v>2279</v>
      </c>
      <c r="N342" t="s">
        <v>2279</v>
      </c>
      <c r="O342" s="190" t="str">
        <f>"["&amp;$C342&amp;"]["&amp;$D342&amp;"]["&amp;$F342&amp;"]"</f>
        <v>[S05_AggregateTotalEmissionsByCRF][11][TotalProcessEmissionsTCo2e]</v>
      </c>
    </row>
    <row r="343" spans="1:15" x14ac:dyDescent="0.3">
      <c r="A343" t="s">
        <v>2277</v>
      </c>
      <c r="B343" t="s">
        <v>1846</v>
      </c>
      <c r="C343" t="s">
        <v>1849</v>
      </c>
      <c r="D343">
        <v>12</v>
      </c>
      <c r="E343" t="s">
        <v>1447</v>
      </c>
      <c r="F343" t="s">
        <v>1854</v>
      </c>
      <c r="G343" t="s">
        <v>1806</v>
      </c>
      <c r="H343" t="s">
        <v>2279</v>
      </c>
      <c r="I343" t="s">
        <v>2279</v>
      </c>
      <c r="J343">
        <v>0</v>
      </c>
      <c r="K343" t="s">
        <v>2279</v>
      </c>
      <c r="L343" t="s">
        <v>2279</v>
      </c>
      <c r="M343" t="s">
        <v>2279</v>
      </c>
      <c r="N343" t="s">
        <v>2279</v>
      </c>
      <c r="O343" s="190" t="str">
        <f>"["&amp;$C343&amp;"]["&amp;$D343&amp;"]["&amp;$F343&amp;"]"</f>
        <v>[S05_AggregateTotalEmissionsByCRF][12][TotalProcessEmissionsTCo2e]</v>
      </c>
    </row>
    <row r="344" spans="1:15" x14ac:dyDescent="0.3">
      <c r="A344" t="s">
        <v>2277</v>
      </c>
      <c r="B344" t="s">
        <v>1846</v>
      </c>
      <c r="C344" t="s">
        <v>1849</v>
      </c>
      <c r="D344">
        <v>13</v>
      </c>
      <c r="E344" t="s">
        <v>1447</v>
      </c>
      <c r="F344" t="s">
        <v>1854</v>
      </c>
      <c r="G344" t="s">
        <v>1806</v>
      </c>
      <c r="H344" t="s">
        <v>2279</v>
      </c>
      <c r="I344" t="s">
        <v>2279</v>
      </c>
      <c r="J344">
        <v>0</v>
      </c>
      <c r="K344" t="s">
        <v>2279</v>
      </c>
      <c r="L344" t="s">
        <v>2279</v>
      </c>
      <c r="M344" t="s">
        <v>2279</v>
      </c>
      <c r="N344" t="s">
        <v>2279</v>
      </c>
      <c r="O344" s="190" t="str">
        <f>"["&amp;$C344&amp;"]["&amp;$D344&amp;"]["&amp;$F344&amp;"]"</f>
        <v>[S05_AggregateTotalEmissionsByCRF][13][TotalProcessEmissionsTCo2e]</v>
      </c>
    </row>
    <row r="345" spans="1:15" x14ac:dyDescent="0.3">
      <c r="A345" t="s">
        <v>2277</v>
      </c>
      <c r="B345" t="s">
        <v>1846</v>
      </c>
      <c r="C345" t="s">
        <v>1849</v>
      </c>
      <c r="D345">
        <v>14</v>
      </c>
      <c r="E345" t="s">
        <v>1447</v>
      </c>
      <c r="F345" t="s">
        <v>1854</v>
      </c>
      <c r="G345" t="s">
        <v>1806</v>
      </c>
      <c r="H345" t="s">
        <v>2279</v>
      </c>
      <c r="I345" t="s">
        <v>2279</v>
      </c>
      <c r="J345">
        <v>827079.12958219799</v>
      </c>
      <c r="K345" t="s">
        <v>2279</v>
      </c>
      <c r="L345" t="s">
        <v>2279</v>
      </c>
      <c r="M345" t="s">
        <v>2279</v>
      </c>
      <c r="N345" t="s">
        <v>2279</v>
      </c>
      <c r="O345" s="190" t="str">
        <f>"["&amp;$C345&amp;"]["&amp;$D345&amp;"]["&amp;$F345&amp;"]"</f>
        <v>[S05_AggregateTotalEmissionsByCRF][14][TotalProcessEmissionsTCo2e]</v>
      </c>
    </row>
    <row r="346" spans="1:15" x14ac:dyDescent="0.3">
      <c r="A346" t="s">
        <v>2277</v>
      </c>
      <c r="B346" t="s">
        <v>1846</v>
      </c>
      <c r="C346" t="s">
        <v>1849</v>
      </c>
      <c r="D346">
        <v>15</v>
      </c>
      <c r="E346" t="s">
        <v>1447</v>
      </c>
      <c r="F346" t="s">
        <v>1854</v>
      </c>
      <c r="G346" t="s">
        <v>1806</v>
      </c>
      <c r="H346" t="s">
        <v>2279</v>
      </c>
      <c r="I346" t="s">
        <v>2279</v>
      </c>
      <c r="J346">
        <v>148619.619135991</v>
      </c>
      <c r="K346" t="s">
        <v>2279</v>
      </c>
      <c r="L346" t="s">
        <v>2279</v>
      </c>
      <c r="M346" t="s">
        <v>2279</v>
      </c>
      <c r="N346" t="s">
        <v>2279</v>
      </c>
      <c r="O346" s="190" t="str">
        <f>"["&amp;$C346&amp;"]["&amp;$D346&amp;"]["&amp;$F346&amp;"]"</f>
        <v>[S05_AggregateTotalEmissionsByCRF][15][TotalProcessEmissionsTCo2e]</v>
      </c>
    </row>
    <row r="347" spans="1:15" x14ac:dyDescent="0.3">
      <c r="A347" t="s">
        <v>2277</v>
      </c>
      <c r="B347" t="s">
        <v>1846</v>
      </c>
      <c r="C347" t="s">
        <v>1849</v>
      </c>
      <c r="D347">
        <v>16</v>
      </c>
      <c r="E347" t="s">
        <v>1447</v>
      </c>
      <c r="F347" t="s">
        <v>1854</v>
      </c>
      <c r="G347" t="s">
        <v>1806</v>
      </c>
      <c r="H347" t="s">
        <v>2279</v>
      </c>
      <c r="I347" t="s">
        <v>2279</v>
      </c>
      <c r="J347">
        <v>53096.791124203999</v>
      </c>
      <c r="K347" t="s">
        <v>2279</v>
      </c>
      <c r="L347" t="s">
        <v>2279</v>
      </c>
      <c r="M347" t="s">
        <v>2279</v>
      </c>
      <c r="N347" t="s">
        <v>2279</v>
      </c>
      <c r="O347" s="190" t="str">
        <f>"["&amp;$C347&amp;"]["&amp;$D347&amp;"]["&amp;$F347&amp;"]"</f>
        <v>[S05_AggregateTotalEmissionsByCRF][16][TotalProcessEmissionsTCo2e]</v>
      </c>
    </row>
    <row r="348" spans="1:15" x14ac:dyDescent="0.3">
      <c r="A348" t="s">
        <v>2277</v>
      </c>
      <c r="B348" t="s">
        <v>1846</v>
      </c>
      <c r="C348" t="s">
        <v>1849</v>
      </c>
      <c r="D348">
        <v>17</v>
      </c>
      <c r="E348" t="s">
        <v>1447</v>
      </c>
      <c r="F348" t="s">
        <v>1854</v>
      </c>
      <c r="G348" t="s">
        <v>1806</v>
      </c>
      <c r="H348" t="s">
        <v>2279</v>
      </c>
      <c r="I348" t="s">
        <v>2279</v>
      </c>
      <c r="J348">
        <v>126.53095966708899</v>
      </c>
      <c r="K348" t="s">
        <v>2279</v>
      </c>
      <c r="L348" t="s">
        <v>2279</v>
      </c>
      <c r="M348" t="s">
        <v>2279</v>
      </c>
      <c r="N348" t="s">
        <v>2279</v>
      </c>
      <c r="O348" s="190" t="str">
        <f>"["&amp;$C348&amp;"]["&amp;$D348&amp;"]["&amp;$F348&amp;"]"</f>
        <v>[S05_AggregateTotalEmissionsByCRF][17][TotalProcessEmissionsTCo2e]</v>
      </c>
    </row>
    <row r="349" spans="1:15" x14ac:dyDescent="0.3">
      <c r="A349" t="s">
        <v>2277</v>
      </c>
      <c r="B349" t="s">
        <v>1846</v>
      </c>
      <c r="C349" t="s">
        <v>1849</v>
      </c>
      <c r="D349">
        <v>18</v>
      </c>
      <c r="E349" t="s">
        <v>1447</v>
      </c>
      <c r="F349" t="s">
        <v>1854</v>
      </c>
      <c r="G349" t="s">
        <v>1806</v>
      </c>
      <c r="H349" t="s">
        <v>2279</v>
      </c>
      <c r="I349" t="s">
        <v>2279</v>
      </c>
      <c r="J349">
        <v>0</v>
      </c>
      <c r="K349" t="s">
        <v>2279</v>
      </c>
      <c r="L349" t="s">
        <v>2279</v>
      </c>
      <c r="M349" t="s">
        <v>2279</v>
      </c>
      <c r="N349" t="s">
        <v>2279</v>
      </c>
      <c r="O349" s="190" t="str">
        <f>"["&amp;$C349&amp;"]["&amp;$D349&amp;"]["&amp;$F349&amp;"]"</f>
        <v>[S05_AggregateTotalEmissionsByCRF][18][TotalProcessEmissionsTCo2e]</v>
      </c>
    </row>
    <row r="350" spans="1:15" x14ac:dyDescent="0.3">
      <c r="A350" t="s">
        <v>2277</v>
      </c>
      <c r="B350" t="s">
        <v>1846</v>
      </c>
      <c r="C350" t="s">
        <v>1849</v>
      </c>
      <c r="D350">
        <v>19</v>
      </c>
      <c r="E350" t="s">
        <v>1447</v>
      </c>
      <c r="F350" t="s">
        <v>1854</v>
      </c>
      <c r="G350" t="s">
        <v>1806</v>
      </c>
      <c r="H350" t="s">
        <v>2279</v>
      </c>
      <c r="I350" t="s">
        <v>2279</v>
      </c>
      <c r="J350">
        <v>-640.68733713538495</v>
      </c>
      <c r="K350" t="s">
        <v>2279</v>
      </c>
      <c r="L350" t="s">
        <v>2279</v>
      </c>
      <c r="M350" t="s">
        <v>2279</v>
      </c>
      <c r="N350" t="s">
        <v>2279</v>
      </c>
      <c r="O350" s="190" t="str">
        <f>"["&amp;$C350&amp;"]["&amp;$D350&amp;"]["&amp;$F350&amp;"]"</f>
        <v>[S05_AggregateTotalEmissionsByCRF][19][TotalProcessEmissionsTCo2e]</v>
      </c>
    </row>
    <row r="351" spans="1:15" x14ac:dyDescent="0.3">
      <c r="A351" t="s">
        <v>2277</v>
      </c>
      <c r="B351" t="s">
        <v>1846</v>
      </c>
      <c r="C351" t="s">
        <v>1849</v>
      </c>
      <c r="D351">
        <v>20</v>
      </c>
      <c r="E351" t="s">
        <v>1447</v>
      </c>
      <c r="F351" t="s">
        <v>1854</v>
      </c>
      <c r="G351" t="s">
        <v>1806</v>
      </c>
      <c r="H351" t="s">
        <v>2279</v>
      </c>
      <c r="I351" t="s">
        <v>2279</v>
      </c>
      <c r="J351">
        <v>0</v>
      </c>
      <c r="K351" t="s">
        <v>2279</v>
      </c>
      <c r="L351" t="s">
        <v>2279</v>
      </c>
      <c r="M351" t="s">
        <v>2279</v>
      </c>
      <c r="N351" t="s">
        <v>2279</v>
      </c>
      <c r="O351" s="190" t="str">
        <f>"["&amp;$C351&amp;"]["&amp;$D351&amp;"]["&amp;$F351&amp;"]"</f>
        <v>[S05_AggregateTotalEmissionsByCRF][20][TotalProcessEmissionsTCo2e]</v>
      </c>
    </row>
    <row r="352" spans="1:15" x14ac:dyDescent="0.3">
      <c r="A352" t="s">
        <v>2277</v>
      </c>
      <c r="B352" t="s">
        <v>1846</v>
      </c>
      <c r="C352" t="s">
        <v>1849</v>
      </c>
      <c r="D352">
        <v>21</v>
      </c>
      <c r="E352" t="s">
        <v>1447</v>
      </c>
      <c r="F352" t="s">
        <v>1854</v>
      </c>
      <c r="G352" t="s">
        <v>1806</v>
      </c>
      <c r="H352" t="s">
        <v>2279</v>
      </c>
      <c r="I352" t="s">
        <v>2279</v>
      </c>
      <c r="J352">
        <v>0</v>
      </c>
      <c r="K352" t="s">
        <v>2279</v>
      </c>
      <c r="L352" t="s">
        <v>2279</v>
      </c>
      <c r="M352" t="s">
        <v>2279</v>
      </c>
      <c r="N352" t="s">
        <v>2279</v>
      </c>
      <c r="O352" s="190" t="str">
        <f>"["&amp;$C352&amp;"]["&amp;$D352&amp;"]["&amp;$F352&amp;"]"</f>
        <v>[S05_AggregateTotalEmissionsByCRF][21][TotalProcessEmissionsTCo2e]</v>
      </c>
    </row>
    <row r="353" spans="1:15" x14ac:dyDescent="0.3">
      <c r="A353" t="s">
        <v>2277</v>
      </c>
      <c r="B353" t="s">
        <v>1846</v>
      </c>
      <c r="C353" t="s">
        <v>1849</v>
      </c>
      <c r="D353">
        <v>22</v>
      </c>
      <c r="E353" t="s">
        <v>1447</v>
      </c>
      <c r="F353" t="s">
        <v>1854</v>
      </c>
      <c r="G353" t="s">
        <v>1806</v>
      </c>
      <c r="H353" t="s">
        <v>2279</v>
      </c>
      <c r="I353" t="s">
        <v>2279</v>
      </c>
      <c r="J353">
        <v>0</v>
      </c>
      <c r="K353" t="s">
        <v>2279</v>
      </c>
      <c r="L353" t="s">
        <v>2279</v>
      </c>
      <c r="M353" t="s">
        <v>2279</v>
      </c>
      <c r="N353" t="s">
        <v>2279</v>
      </c>
      <c r="O353" s="190" t="str">
        <f>"["&amp;$C353&amp;"]["&amp;$D353&amp;"]["&amp;$F353&amp;"]"</f>
        <v>[S05_AggregateTotalEmissionsByCRF][22][TotalProcessEmissionsTCo2e]</v>
      </c>
    </row>
    <row r="354" spans="1:15" x14ac:dyDescent="0.3">
      <c r="A354" t="s">
        <v>2277</v>
      </c>
      <c r="B354" t="s">
        <v>1846</v>
      </c>
      <c r="C354" t="s">
        <v>1849</v>
      </c>
      <c r="D354">
        <v>23</v>
      </c>
      <c r="E354" t="s">
        <v>1447</v>
      </c>
      <c r="F354" t="s">
        <v>1854</v>
      </c>
      <c r="G354" t="s">
        <v>1806</v>
      </c>
      <c r="H354" t="s">
        <v>2279</v>
      </c>
      <c r="I354" t="s">
        <v>2279</v>
      </c>
      <c r="J354">
        <v>1415.23703</v>
      </c>
      <c r="K354" t="s">
        <v>2279</v>
      </c>
      <c r="L354" t="s">
        <v>2279</v>
      </c>
      <c r="M354" t="s">
        <v>2279</v>
      </c>
      <c r="N354" t="s">
        <v>2279</v>
      </c>
      <c r="O354" s="190" t="str">
        <f>"["&amp;$C354&amp;"]["&amp;$D354&amp;"]["&amp;$F354&amp;"]"</f>
        <v>[S05_AggregateTotalEmissionsByCRF][23][TotalProcessEmissionsTCo2e]</v>
      </c>
    </row>
    <row r="355" spans="1:15" x14ac:dyDescent="0.3">
      <c r="A355" t="s">
        <v>2277</v>
      </c>
      <c r="B355" t="s">
        <v>1846</v>
      </c>
      <c r="C355" t="s">
        <v>1849</v>
      </c>
      <c r="D355">
        <v>24</v>
      </c>
      <c r="E355" t="s">
        <v>1447</v>
      </c>
      <c r="F355" t="s">
        <v>1854</v>
      </c>
      <c r="G355" t="s">
        <v>1806</v>
      </c>
      <c r="H355" t="s">
        <v>2279</v>
      </c>
      <c r="I355" t="s">
        <v>2279</v>
      </c>
      <c r="J355">
        <v>1964607.66753362</v>
      </c>
      <c r="K355" t="s">
        <v>2279</v>
      </c>
      <c r="L355" t="s">
        <v>2279</v>
      </c>
      <c r="M355" t="s">
        <v>2279</v>
      </c>
      <c r="N355" t="s">
        <v>2279</v>
      </c>
      <c r="O355" s="190" t="str">
        <f>"["&amp;$C355&amp;"]["&amp;$D355&amp;"]["&amp;$F355&amp;"]"</f>
        <v>[S05_AggregateTotalEmissionsByCRF][24][TotalProcessEmissionsTCo2e]</v>
      </c>
    </row>
    <row r="356" spans="1:15" x14ac:dyDescent="0.3">
      <c r="A356" t="s">
        <v>2277</v>
      </c>
      <c r="B356" t="s">
        <v>1846</v>
      </c>
      <c r="C356" t="s">
        <v>1849</v>
      </c>
      <c r="D356">
        <v>25</v>
      </c>
      <c r="E356" t="s">
        <v>1447</v>
      </c>
      <c r="F356" t="s">
        <v>1854</v>
      </c>
      <c r="G356" t="s">
        <v>1806</v>
      </c>
      <c r="H356" t="s">
        <v>2279</v>
      </c>
      <c r="I356" t="s">
        <v>2279</v>
      </c>
      <c r="J356">
        <v>667024.35484753305</v>
      </c>
      <c r="K356" t="s">
        <v>2279</v>
      </c>
      <c r="L356" t="s">
        <v>2279</v>
      </c>
      <c r="M356" t="s">
        <v>2279</v>
      </c>
      <c r="N356" t="s">
        <v>2279</v>
      </c>
      <c r="O356" s="190" t="str">
        <f>"["&amp;$C356&amp;"]["&amp;$D356&amp;"]["&amp;$F356&amp;"]"</f>
        <v>[S05_AggregateTotalEmissionsByCRF][25][TotalProcessEmissionsTCo2e]</v>
      </c>
    </row>
    <row r="357" spans="1:15" x14ac:dyDescent="0.3">
      <c r="A357" t="s">
        <v>2277</v>
      </c>
      <c r="B357" t="s">
        <v>1846</v>
      </c>
      <c r="C357" t="s">
        <v>1849</v>
      </c>
      <c r="D357">
        <v>26</v>
      </c>
      <c r="E357" t="s">
        <v>1447</v>
      </c>
      <c r="F357" t="s">
        <v>1854</v>
      </c>
      <c r="G357" t="s">
        <v>1806</v>
      </c>
      <c r="H357" t="s">
        <v>2279</v>
      </c>
      <c r="I357" t="s">
        <v>2279</v>
      </c>
      <c r="J357">
        <v>68009.232101229005</v>
      </c>
      <c r="K357" t="s">
        <v>2279</v>
      </c>
      <c r="L357" t="s">
        <v>2279</v>
      </c>
      <c r="M357" t="s">
        <v>2279</v>
      </c>
      <c r="N357" t="s">
        <v>2279</v>
      </c>
      <c r="O357" s="190" t="str">
        <f>"["&amp;$C357&amp;"]["&amp;$D357&amp;"]["&amp;$F357&amp;"]"</f>
        <v>[S05_AggregateTotalEmissionsByCRF][26][TotalProcessEmissionsTCo2e]</v>
      </c>
    </row>
    <row r="358" spans="1:15" x14ac:dyDescent="0.3">
      <c r="A358" t="s">
        <v>2277</v>
      </c>
      <c r="B358" t="s">
        <v>1846</v>
      </c>
      <c r="C358" t="s">
        <v>1849</v>
      </c>
      <c r="D358">
        <v>27</v>
      </c>
      <c r="E358" t="s">
        <v>1447</v>
      </c>
      <c r="F358" t="s">
        <v>1854</v>
      </c>
      <c r="G358" t="s">
        <v>1806</v>
      </c>
      <c r="H358" t="s">
        <v>2279</v>
      </c>
      <c r="I358" t="s">
        <v>2279</v>
      </c>
      <c r="J358">
        <v>79085.145271303802</v>
      </c>
      <c r="K358" t="s">
        <v>2279</v>
      </c>
      <c r="L358" t="s">
        <v>2279</v>
      </c>
      <c r="M358" t="s">
        <v>2279</v>
      </c>
      <c r="N358" t="s">
        <v>2279</v>
      </c>
      <c r="O358" s="190" t="str">
        <f>"["&amp;$C358&amp;"]["&amp;$D358&amp;"]["&amp;$F358&amp;"]"</f>
        <v>[S05_AggregateTotalEmissionsByCRF][27][TotalProcessEmissionsTCo2e]</v>
      </c>
    </row>
    <row r="359" spans="1:15" x14ac:dyDescent="0.3">
      <c r="A359" t="s">
        <v>2277</v>
      </c>
      <c r="B359" t="s">
        <v>1846</v>
      </c>
      <c r="C359" t="s">
        <v>1849</v>
      </c>
      <c r="D359">
        <v>28</v>
      </c>
      <c r="E359" t="s">
        <v>1447</v>
      </c>
      <c r="F359" t="s">
        <v>1854</v>
      </c>
      <c r="G359" t="s">
        <v>1806</v>
      </c>
      <c r="H359" t="s">
        <v>2279</v>
      </c>
      <c r="I359" t="s">
        <v>2279</v>
      </c>
      <c r="J359">
        <v>0</v>
      </c>
      <c r="K359" t="s">
        <v>2279</v>
      </c>
      <c r="L359" t="s">
        <v>2279</v>
      </c>
      <c r="M359" t="s">
        <v>2279</v>
      </c>
      <c r="N359" t="s">
        <v>2279</v>
      </c>
      <c r="O359" s="190" t="str">
        <f>"["&amp;$C359&amp;"]["&amp;$D359&amp;"]["&amp;$F359&amp;"]"</f>
        <v>[S05_AggregateTotalEmissionsByCRF][28][TotalProcessEmissionsTCo2e]</v>
      </c>
    </row>
    <row r="360" spans="1:15" x14ac:dyDescent="0.3">
      <c r="A360" t="s">
        <v>2277</v>
      </c>
      <c r="B360" t="s">
        <v>1846</v>
      </c>
      <c r="C360" t="s">
        <v>1849</v>
      </c>
      <c r="D360">
        <v>29</v>
      </c>
      <c r="E360" t="s">
        <v>1447</v>
      </c>
      <c r="F360" t="s">
        <v>1854</v>
      </c>
      <c r="G360" t="s">
        <v>1806</v>
      </c>
      <c r="H360" t="s">
        <v>2279</v>
      </c>
      <c r="I360" t="s">
        <v>2279</v>
      </c>
      <c r="J360">
        <v>0</v>
      </c>
      <c r="K360" t="s">
        <v>2279</v>
      </c>
      <c r="L360" t="s">
        <v>2279</v>
      </c>
      <c r="M360" t="s">
        <v>2279</v>
      </c>
      <c r="N360" t="s">
        <v>2279</v>
      </c>
      <c r="O360" s="190" t="str">
        <f>"["&amp;$C360&amp;"]["&amp;$D360&amp;"]["&amp;$F360&amp;"]"</f>
        <v>[S05_AggregateTotalEmissionsByCRF][29][TotalProcessEmissionsTCo2e]</v>
      </c>
    </row>
    <row r="361" spans="1:15" x14ac:dyDescent="0.3">
      <c r="A361" t="s">
        <v>2277</v>
      </c>
      <c r="B361" t="s">
        <v>1846</v>
      </c>
      <c r="C361" t="s">
        <v>1849</v>
      </c>
      <c r="D361">
        <v>30</v>
      </c>
      <c r="E361" t="s">
        <v>1447</v>
      </c>
      <c r="F361" t="s">
        <v>1854</v>
      </c>
      <c r="G361" t="s">
        <v>1806</v>
      </c>
      <c r="H361" t="s">
        <v>2279</v>
      </c>
      <c r="I361" t="s">
        <v>2279</v>
      </c>
      <c r="J361">
        <v>550.18799999999999</v>
      </c>
      <c r="K361" t="s">
        <v>2279</v>
      </c>
      <c r="L361" t="s">
        <v>2279</v>
      </c>
      <c r="M361" t="s">
        <v>2279</v>
      </c>
      <c r="N361" t="s">
        <v>2279</v>
      </c>
      <c r="O361" s="190" t="str">
        <f>"["&amp;$C361&amp;"]["&amp;$D361&amp;"]["&amp;$F361&amp;"]"</f>
        <v>[S05_AggregateTotalEmissionsByCRF][30][TotalProcessEmissionsTCo2e]</v>
      </c>
    </row>
    <row r="362" spans="1:15" x14ac:dyDescent="0.3">
      <c r="A362" t="s">
        <v>2277</v>
      </c>
      <c r="B362" t="s">
        <v>1846</v>
      </c>
      <c r="C362" t="s">
        <v>1849</v>
      </c>
      <c r="D362">
        <v>31</v>
      </c>
      <c r="E362" t="s">
        <v>1447</v>
      </c>
      <c r="F362" t="s">
        <v>1854</v>
      </c>
      <c r="G362" t="s">
        <v>1806</v>
      </c>
      <c r="H362" t="s">
        <v>2279</v>
      </c>
      <c r="I362" t="s">
        <v>2279</v>
      </c>
      <c r="J362">
        <v>0</v>
      </c>
      <c r="K362" t="s">
        <v>2279</v>
      </c>
      <c r="L362" t="s">
        <v>2279</v>
      </c>
      <c r="M362" t="s">
        <v>2279</v>
      </c>
      <c r="N362" t="s">
        <v>2279</v>
      </c>
      <c r="O362" s="190" t="str">
        <f>"["&amp;$C362&amp;"]["&amp;$D362&amp;"]["&amp;$F362&amp;"]"</f>
        <v>[S05_AggregateTotalEmissionsByCRF][31][TotalProcessEmissionsTCo2e]</v>
      </c>
    </row>
    <row r="363" spans="1:15" x14ac:dyDescent="0.3">
      <c r="A363" t="s">
        <v>2277</v>
      </c>
      <c r="B363" t="s">
        <v>1846</v>
      </c>
      <c r="C363" t="s">
        <v>1849</v>
      </c>
      <c r="D363">
        <v>32</v>
      </c>
      <c r="E363" t="s">
        <v>1447</v>
      </c>
      <c r="F363" t="s">
        <v>1854</v>
      </c>
      <c r="G363" t="s">
        <v>1806</v>
      </c>
      <c r="H363" t="s">
        <v>2279</v>
      </c>
      <c r="I363" t="s">
        <v>2279</v>
      </c>
      <c r="J363">
        <v>0</v>
      </c>
      <c r="K363" t="s">
        <v>2279</v>
      </c>
      <c r="L363" t="s">
        <v>2279</v>
      </c>
      <c r="M363" t="s">
        <v>2279</v>
      </c>
      <c r="N363" t="s">
        <v>2279</v>
      </c>
      <c r="O363" s="190" t="str">
        <f>"["&amp;$C363&amp;"]["&amp;$D363&amp;"]["&amp;$F363&amp;"]"</f>
        <v>[S05_AggregateTotalEmissionsByCRF][32][TotalProcessEmissionsTCo2e]</v>
      </c>
    </row>
    <row r="364" spans="1:15" x14ac:dyDescent="0.3">
      <c r="A364" t="s">
        <v>2277</v>
      </c>
      <c r="B364" t="s">
        <v>1846</v>
      </c>
      <c r="C364" t="s">
        <v>1849</v>
      </c>
      <c r="D364">
        <v>33</v>
      </c>
      <c r="E364" t="s">
        <v>1447</v>
      </c>
      <c r="F364" t="s">
        <v>1854</v>
      </c>
      <c r="G364" t="s">
        <v>1806</v>
      </c>
      <c r="H364" t="s">
        <v>2279</v>
      </c>
      <c r="I364" t="s">
        <v>2279</v>
      </c>
      <c r="J364">
        <v>0</v>
      </c>
      <c r="K364" t="s">
        <v>2279</v>
      </c>
      <c r="L364" t="s">
        <v>2279</v>
      </c>
      <c r="M364" t="s">
        <v>2279</v>
      </c>
      <c r="N364" t="s">
        <v>2279</v>
      </c>
      <c r="O364" s="190" t="str">
        <f>"["&amp;$C364&amp;"]["&amp;$D364&amp;"]["&amp;$F364&amp;"]"</f>
        <v>[S05_AggregateTotalEmissionsByCRF][33][TotalProcessEmissionsTCo2e]</v>
      </c>
    </row>
    <row r="365" spans="1:15" x14ac:dyDescent="0.3">
      <c r="A365" t="s">
        <v>2277</v>
      </c>
      <c r="B365" t="s">
        <v>1846</v>
      </c>
      <c r="C365" t="s">
        <v>1849</v>
      </c>
      <c r="D365">
        <v>34</v>
      </c>
      <c r="E365" t="s">
        <v>1447</v>
      </c>
      <c r="F365" t="s">
        <v>1854</v>
      </c>
      <c r="G365" t="s">
        <v>1806</v>
      </c>
      <c r="H365" t="s">
        <v>2279</v>
      </c>
      <c r="I365" t="s">
        <v>2279</v>
      </c>
      <c r="J365">
        <v>0</v>
      </c>
      <c r="K365" t="s">
        <v>2279</v>
      </c>
      <c r="L365" t="s">
        <v>2279</v>
      </c>
      <c r="M365" t="s">
        <v>2279</v>
      </c>
      <c r="N365" t="s">
        <v>2279</v>
      </c>
      <c r="O365" s="190" t="str">
        <f>"["&amp;$C365&amp;"]["&amp;$D365&amp;"]["&amp;$F365&amp;"]"</f>
        <v>[S05_AggregateTotalEmissionsByCRF][34][TotalProcessEmissionsTCo2e]</v>
      </c>
    </row>
    <row r="366" spans="1:15" x14ac:dyDescent="0.3">
      <c r="A366" t="s">
        <v>2277</v>
      </c>
      <c r="B366" t="s">
        <v>1846</v>
      </c>
      <c r="C366" t="s">
        <v>1849</v>
      </c>
      <c r="D366">
        <v>35</v>
      </c>
      <c r="E366" t="s">
        <v>1447</v>
      </c>
      <c r="F366" t="s">
        <v>1854</v>
      </c>
      <c r="G366" t="s">
        <v>1806</v>
      </c>
      <c r="H366" t="s">
        <v>2279</v>
      </c>
      <c r="I366" t="s">
        <v>2279</v>
      </c>
      <c r="J366">
        <v>78057.784565344802</v>
      </c>
      <c r="K366" t="s">
        <v>2279</v>
      </c>
      <c r="L366" t="s">
        <v>2279</v>
      </c>
      <c r="M366" t="s">
        <v>2279</v>
      </c>
      <c r="N366" t="s">
        <v>2279</v>
      </c>
      <c r="O366" s="190" t="str">
        <f>"["&amp;$C366&amp;"]["&amp;$D366&amp;"]["&amp;$F366&amp;"]"</f>
        <v>[S05_AggregateTotalEmissionsByCRF][35][TotalProcessEmissionsTCo2e]</v>
      </c>
    </row>
    <row r="367" spans="1:15" x14ac:dyDescent="0.3">
      <c r="A367" t="s">
        <v>2277</v>
      </c>
      <c r="B367" t="s">
        <v>1846</v>
      </c>
      <c r="C367" t="s">
        <v>1849</v>
      </c>
      <c r="D367">
        <v>36</v>
      </c>
      <c r="E367" t="s">
        <v>1447</v>
      </c>
      <c r="F367" t="s">
        <v>1854</v>
      </c>
      <c r="G367" t="s">
        <v>1806</v>
      </c>
      <c r="H367" t="s">
        <v>2279</v>
      </c>
      <c r="I367" t="s">
        <v>2279</v>
      </c>
      <c r="J367">
        <v>318.92746519999997</v>
      </c>
      <c r="K367" t="s">
        <v>2279</v>
      </c>
      <c r="L367" t="s">
        <v>2279</v>
      </c>
      <c r="M367" t="s">
        <v>2279</v>
      </c>
      <c r="N367" t="s">
        <v>2279</v>
      </c>
      <c r="O367" s="190" t="str">
        <f>"["&amp;$C367&amp;"]["&amp;$D367&amp;"]["&amp;$F367&amp;"]"</f>
        <v>[S05_AggregateTotalEmissionsByCRF][36][TotalProcessEmissionsTCo2e]</v>
      </c>
    </row>
    <row r="368" spans="1:15" x14ac:dyDescent="0.3">
      <c r="A368" t="s">
        <v>2277</v>
      </c>
      <c r="B368" t="s">
        <v>1846</v>
      </c>
      <c r="C368" t="s">
        <v>1849</v>
      </c>
      <c r="D368">
        <v>37</v>
      </c>
      <c r="E368" t="s">
        <v>1447</v>
      </c>
      <c r="F368" t="s">
        <v>1854</v>
      </c>
      <c r="G368" t="s">
        <v>1806</v>
      </c>
      <c r="H368" t="s">
        <v>2279</v>
      </c>
      <c r="I368" t="s">
        <v>2279</v>
      </c>
      <c r="J368">
        <v>13104.992988489999</v>
      </c>
      <c r="K368" t="s">
        <v>2279</v>
      </c>
      <c r="L368" t="s">
        <v>2279</v>
      </c>
      <c r="M368" t="s">
        <v>2279</v>
      </c>
      <c r="N368" t="s">
        <v>2279</v>
      </c>
      <c r="O368" s="190" t="str">
        <f>"["&amp;$C368&amp;"]["&amp;$D368&amp;"]["&amp;$F368&amp;"]"</f>
        <v>[S05_AggregateTotalEmissionsByCRF][37][TotalProcessEmissionsTCo2e]</v>
      </c>
    </row>
    <row r="369" spans="1:15" x14ac:dyDescent="0.3">
      <c r="A369" t="s">
        <v>2277</v>
      </c>
      <c r="B369" t="s">
        <v>1846</v>
      </c>
      <c r="C369" t="s">
        <v>1849</v>
      </c>
      <c r="D369">
        <v>38</v>
      </c>
      <c r="E369" t="s">
        <v>1447</v>
      </c>
      <c r="F369" t="s">
        <v>1854</v>
      </c>
      <c r="G369" t="s">
        <v>1806</v>
      </c>
      <c r="H369" t="s">
        <v>2279</v>
      </c>
      <c r="I369" t="s">
        <v>2279</v>
      </c>
      <c r="J369">
        <v>0</v>
      </c>
      <c r="K369" t="s">
        <v>2279</v>
      </c>
      <c r="L369" t="s">
        <v>2279</v>
      </c>
      <c r="M369" t="s">
        <v>2279</v>
      </c>
      <c r="N369" t="s">
        <v>2279</v>
      </c>
      <c r="O369" s="190" t="str">
        <f>"["&amp;$C369&amp;"]["&amp;$D369&amp;"]["&amp;$F369&amp;"]"</f>
        <v>[S05_AggregateTotalEmissionsByCRF][38][TotalProcessEmissionsTCo2e]</v>
      </c>
    </row>
    <row r="370" spans="1:15" x14ac:dyDescent="0.3">
      <c r="A370" t="s">
        <v>2277</v>
      </c>
      <c r="B370" t="s">
        <v>1846</v>
      </c>
      <c r="C370" t="s">
        <v>1849</v>
      </c>
      <c r="D370">
        <v>39</v>
      </c>
      <c r="E370" t="s">
        <v>1447</v>
      </c>
      <c r="F370" t="s">
        <v>1854</v>
      </c>
      <c r="G370" t="s">
        <v>1806</v>
      </c>
      <c r="H370" t="s">
        <v>2279</v>
      </c>
      <c r="I370" t="s">
        <v>2279</v>
      </c>
      <c r="J370">
        <v>2959.3820189500002</v>
      </c>
      <c r="K370" t="s">
        <v>2279</v>
      </c>
      <c r="L370" t="s">
        <v>2279</v>
      </c>
      <c r="M370" t="s">
        <v>2279</v>
      </c>
      <c r="N370" t="s">
        <v>2279</v>
      </c>
      <c r="O370" s="190" t="str">
        <f>"["&amp;$C370&amp;"]["&amp;$D370&amp;"]["&amp;$F370&amp;"]"</f>
        <v>[S05_AggregateTotalEmissionsByCRF][39][TotalProcessEmissionsTCo2e]</v>
      </c>
    </row>
    <row r="371" spans="1:15" x14ac:dyDescent="0.3">
      <c r="A371" t="s">
        <v>2277</v>
      </c>
      <c r="B371" t="s">
        <v>1846</v>
      </c>
      <c r="C371" t="s">
        <v>1849</v>
      </c>
      <c r="D371">
        <v>40</v>
      </c>
      <c r="E371" t="s">
        <v>1447</v>
      </c>
      <c r="F371" t="s">
        <v>1854</v>
      </c>
      <c r="G371" t="s">
        <v>1806</v>
      </c>
      <c r="H371" t="s">
        <v>2279</v>
      </c>
      <c r="I371" t="s">
        <v>2279</v>
      </c>
      <c r="J371">
        <v>0</v>
      </c>
      <c r="K371" t="s">
        <v>2279</v>
      </c>
      <c r="L371" t="s">
        <v>2279</v>
      </c>
      <c r="M371" t="s">
        <v>2279</v>
      </c>
      <c r="N371" t="s">
        <v>2279</v>
      </c>
      <c r="O371" s="190" t="str">
        <f>"["&amp;$C371&amp;"]["&amp;$D371&amp;"]["&amp;$F371&amp;"]"</f>
        <v>[S05_AggregateTotalEmissionsByCRF][40][TotalProcessEmissionsTCo2e]</v>
      </c>
    </row>
    <row r="372" spans="1:15" x14ac:dyDescent="0.3">
      <c r="A372" t="s">
        <v>2277</v>
      </c>
      <c r="B372" t="s">
        <v>1846</v>
      </c>
      <c r="C372" t="s">
        <v>1849</v>
      </c>
      <c r="D372">
        <v>41</v>
      </c>
      <c r="E372" t="s">
        <v>1447</v>
      </c>
      <c r="F372" t="s">
        <v>1854</v>
      </c>
      <c r="G372" t="s">
        <v>1806</v>
      </c>
      <c r="H372" t="s">
        <v>2279</v>
      </c>
      <c r="I372" t="s">
        <v>2279</v>
      </c>
      <c r="J372">
        <v>514305.31649409101</v>
      </c>
      <c r="K372" t="s">
        <v>2279</v>
      </c>
      <c r="L372" t="s">
        <v>2279</v>
      </c>
      <c r="M372" t="s">
        <v>2279</v>
      </c>
      <c r="N372" t="s">
        <v>2279</v>
      </c>
      <c r="O372" s="190" t="str">
        <f>"["&amp;$C372&amp;"]["&amp;$D372&amp;"]["&amp;$F372&amp;"]"</f>
        <v>[S05_AggregateTotalEmissionsByCRF][41][TotalProcessEmissionsTCo2e]</v>
      </c>
    </row>
    <row r="373" spans="1:15" x14ac:dyDescent="0.3">
      <c r="A373" t="s">
        <v>2277</v>
      </c>
      <c r="B373" t="s">
        <v>1846</v>
      </c>
      <c r="C373" t="s">
        <v>1849</v>
      </c>
      <c r="D373">
        <v>42</v>
      </c>
      <c r="E373" t="s">
        <v>1447</v>
      </c>
      <c r="F373" t="s">
        <v>1854</v>
      </c>
      <c r="G373" t="s">
        <v>1806</v>
      </c>
      <c r="H373" t="s">
        <v>2279</v>
      </c>
      <c r="I373" t="s">
        <v>2279</v>
      </c>
      <c r="J373">
        <v>5634.4295840000004</v>
      </c>
      <c r="K373" t="s">
        <v>2279</v>
      </c>
      <c r="L373" t="s">
        <v>2279</v>
      </c>
      <c r="M373" t="s">
        <v>2279</v>
      </c>
      <c r="N373" t="s">
        <v>2279</v>
      </c>
      <c r="O373" s="190" t="str">
        <f>"["&amp;$C373&amp;"]["&amp;$D373&amp;"]["&amp;$F373&amp;"]"</f>
        <v>[S05_AggregateTotalEmissionsByCRF][42][TotalProcessEmissionsTCo2e]</v>
      </c>
    </row>
    <row r="374" spans="1:15" x14ac:dyDescent="0.3">
      <c r="A374" t="s">
        <v>2277</v>
      </c>
      <c r="B374" t="s">
        <v>1847</v>
      </c>
      <c r="C374" t="s">
        <v>1855</v>
      </c>
      <c r="D374">
        <v>1</v>
      </c>
      <c r="E374" t="s">
        <v>1447</v>
      </c>
      <c r="F374" t="s">
        <v>1856</v>
      </c>
      <c r="G374" t="s">
        <v>1737</v>
      </c>
      <c r="H374" t="s">
        <v>2279</v>
      </c>
      <c r="I374" t="s">
        <v>2279</v>
      </c>
      <c r="J374" t="s">
        <v>2279</v>
      </c>
      <c r="K374" t="s">
        <v>2279</v>
      </c>
      <c r="L374" t="s">
        <v>1427</v>
      </c>
      <c r="M374" t="s">
        <v>2279</v>
      </c>
      <c r="N374" t="s">
        <v>2279</v>
      </c>
      <c r="O374" s="190" t="str">
        <f>"["&amp;$C374&amp;"]["&amp;$D374&amp;"]["&amp;$F374&amp;"]"</f>
        <v>[S05_DefaultValues][1][InstallationCategory]</v>
      </c>
    </row>
    <row r="375" spans="1:15" x14ac:dyDescent="0.3">
      <c r="A375" t="s">
        <v>2277</v>
      </c>
      <c r="B375" t="s">
        <v>1847</v>
      </c>
      <c r="C375" t="s">
        <v>1855</v>
      </c>
      <c r="D375">
        <v>2</v>
      </c>
      <c r="E375" t="s">
        <v>1447</v>
      </c>
      <c r="F375" t="s">
        <v>1856</v>
      </c>
      <c r="G375" t="s">
        <v>1737</v>
      </c>
      <c r="H375" t="s">
        <v>2279</v>
      </c>
      <c r="I375" t="s">
        <v>2279</v>
      </c>
      <c r="J375" t="s">
        <v>2279</v>
      </c>
      <c r="K375" t="s">
        <v>2279</v>
      </c>
      <c r="L375" t="s">
        <v>1505</v>
      </c>
      <c r="M375" t="s">
        <v>2279</v>
      </c>
      <c r="N375" t="s">
        <v>2279</v>
      </c>
      <c r="O375" s="190" t="str">
        <f>"["&amp;$C375&amp;"]["&amp;$D375&amp;"]["&amp;$F375&amp;"]"</f>
        <v>[S05_DefaultValues][2][InstallationCategory]</v>
      </c>
    </row>
    <row r="376" spans="1:15" x14ac:dyDescent="0.3">
      <c r="A376" t="s">
        <v>2277</v>
      </c>
      <c r="B376" t="s">
        <v>1847</v>
      </c>
      <c r="C376" t="s">
        <v>1855</v>
      </c>
      <c r="D376">
        <v>3</v>
      </c>
      <c r="E376" t="s">
        <v>1447</v>
      </c>
      <c r="F376" t="s">
        <v>1856</v>
      </c>
      <c r="G376" t="s">
        <v>1737</v>
      </c>
      <c r="H376" t="s">
        <v>2279</v>
      </c>
      <c r="I376" t="s">
        <v>2279</v>
      </c>
      <c r="J376" t="s">
        <v>2279</v>
      </c>
      <c r="K376" t="s">
        <v>2279</v>
      </c>
      <c r="L376" t="s">
        <v>1455</v>
      </c>
      <c r="M376" t="s">
        <v>2279</v>
      </c>
      <c r="N376" t="s">
        <v>2279</v>
      </c>
      <c r="O376" s="190" t="str">
        <f>"["&amp;$C376&amp;"]["&amp;$D376&amp;"]["&amp;$F376&amp;"]"</f>
        <v>[S05_DefaultValues][3][InstallationCategory]</v>
      </c>
    </row>
    <row r="377" spans="1:15" x14ac:dyDescent="0.3">
      <c r="A377" t="s">
        <v>2277</v>
      </c>
      <c r="B377" t="s">
        <v>1847</v>
      </c>
      <c r="C377" t="s">
        <v>1855</v>
      </c>
      <c r="D377">
        <v>4</v>
      </c>
      <c r="E377" t="s">
        <v>1447</v>
      </c>
      <c r="F377" t="s">
        <v>1856</v>
      </c>
      <c r="G377" t="s">
        <v>1737</v>
      </c>
      <c r="H377" t="s">
        <v>2279</v>
      </c>
      <c r="I377" t="s">
        <v>2279</v>
      </c>
      <c r="J377" t="s">
        <v>2279</v>
      </c>
      <c r="K377" t="s">
        <v>2279</v>
      </c>
      <c r="L377" t="s">
        <v>1483</v>
      </c>
      <c r="M377" t="s">
        <v>2279</v>
      </c>
      <c r="N377" t="s">
        <v>2279</v>
      </c>
      <c r="O377" s="190" t="str">
        <f>"["&amp;$C377&amp;"]["&amp;$D377&amp;"]["&amp;$F377&amp;"]"</f>
        <v>[S05_DefaultValues][4][InstallationCategory]</v>
      </c>
    </row>
    <row r="378" spans="1:15" x14ac:dyDescent="0.3">
      <c r="A378" t="s">
        <v>2277</v>
      </c>
      <c r="B378" t="s">
        <v>1847</v>
      </c>
      <c r="C378" t="s">
        <v>1855</v>
      </c>
      <c r="D378">
        <v>5</v>
      </c>
      <c r="E378" t="s">
        <v>1447</v>
      </c>
      <c r="F378" t="s">
        <v>1856</v>
      </c>
      <c r="G378" t="s">
        <v>1737</v>
      </c>
      <c r="H378" t="s">
        <v>2279</v>
      </c>
      <c r="I378" t="s">
        <v>2279</v>
      </c>
      <c r="J378" t="s">
        <v>2279</v>
      </c>
      <c r="K378" t="s">
        <v>2279</v>
      </c>
      <c r="L378" t="s">
        <v>1505</v>
      </c>
      <c r="M378" t="s">
        <v>2279</v>
      </c>
      <c r="N378" t="s">
        <v>2279</v>
      </c>
      <c r="O378" s="190" t="str">
        <f>"["&amp;$C378&amp;"]["&amp;$D378&amp;"]["&amp;$F378&amp;"]"</f>
        <v>[S05_DefaultValues][5][InstallationCategory]</v>
      </c>
    </row>
    <row r="379" spans="1:15" x14ac:dyDescent="0.3">
      <c r="A379" t="s">
        <v>2277</v>
      </c>
      <c r="B379" t="s">
        <v>1847</v>
      </c>
      <c r="C379" t="s">
        <v>1855</v>
      </c>
      <c r="D379">
        <v>6</v>
      </c>
      <c r="E379" t="s">
        <v>1447</v>
      </c>
      <c r="F379" t="s">
        <v>1856</v>
      </c>
      <c r="G379" t="s">
        <v>1737</v>
      </c>
      <c r="H379" t="s">
        <v>2279</v>
      </c>
      <c r="I379" t="s">
        <v>2279</v>
      </c>
      <c r="J379" t="s">
        <v>2279</v>
      </c>
      <c r="K379" t="s">
        <v>2279</v>
      </c>
      <c r="L379" t="s">
        <v>1455</v>
      </c>
      <c r="M379" t="s">
        <v>2279</v>
      </c>
      <c r="N379" t="s">
        <v>2279</v>
      </c>
      <c r="O379" s="190" t="str">
        <f>"["&amp;$C379&amp;"]["&amp;$D379&amp;"]["&amp;$F379&amp;"]"</f>
        <v>[S05_DefaultValues][6][InstallationCategory]</v>
      </c>
    </row>
    <row r="380" spans="1:15" x14ac:dyDescent="0.3">
      <c r="A380" t="s">
        <v>2277</v>
      </c>
      <c r="B380" t="s">
        <v>1847</v>
      </c>
      <c r="C380" t="s">
        <v>1855</v>
      </c>
      <c r="D380">
        <v>7</v>
      </c>
      <c r="E380" t="s">
        <v>1447</v>
      </c>
      <c r="F380" t="s">
        <v>1856</v>
      </c>
      <c r="G380" t="s">
        <v>1737</v>
      </c>
      <c r="H380" t="s">
        <v>2279</v>
      </c>
      <c r="I380" t="s">
        <v>2279</v>
      </c>
      <c r="J380" t="s">
        <v>2279</v>
      </c>
      <c r="K380" t="s">
        <v>2279</v>
      </c>
      <c r="L380" t="s">
        <v>1505</v>
      </c>
      <c r="M380" t="s">
        <v>2279</v>
      </c>
      <c r="N380" t="s">
        <v>2279</v>
      </c>
      <c r="O380" s="190" t="str">
        <f>"["&amp;$C380&amp;"]["&amp;$D380&amp;"]["&amp;$F380&amp;"]"</f>
        <v>[S05_DefaultValues][7][InstallationCategory]</v>
      </c>
    </row>
    <row r="381" spans="1:15" x14ac:dyDescent="0.3">
      <c r="A381" t="s">
        <v>2277</v>
      </c>
      <c r="B381" t="s">
        <v>1847</v>
      </c>
      <c r="C381" t="s">
        <v>1855</v>
      </c>
      <c r="D381">
        <v>8</v>
      </c>
      <c r="E381" t="s">
        <v>1447</v>
      </c>
      <c r="F381" t="s">
        <v>1856</v>
      </c>
      <c r="G381" t="s">
        <v>1737</v>
      </c>
      <c r="H381" t="s">
        <v>2279</v>
      </c>
      <c r="I381" t="s">
        <v>2279</v>
      </c>
      <c r="J381" t="s">
        <v>2279</v>
      </c>
      <c r="K381" t="s">
        <v>2279</v>
      </c>
      <c r="L381" t="s">
        <v>1483</v>
      </c>
      <c r="M381" t="s">
        <v>2279</v>
      </c>
      <c r="N381" t="s">
        <v>2279</v>
      </c>
      <c r="O381" s="190" t="str">
        <f>"["&amp;$C381&amp;"]["&amp;$D381&amp;"]["&amp;$F381&amp;"]"</f>
        <v>[S05_DefaultValues][8][InstallationCategory]</v>
      </c>
    </row>
    <row r="382" spans="1:15" x14ac:dyDescent="0.3">
      <c r="A382" t="s">
        <v>2277</v>
      </c>
      <c r="B382" t="s">
        <v>1847</v>
      </c>
      <c r="C382" t="s">
        <v>1855</v>
      </c>
      <c r="D382">
        <v>9</v>
      </c>
      <c r="E382" t="s">
        <v>1447</v>
      </c>
      <c r="F382" t="s">
        <v>1856</v>
      </c>
      <c r="G382" t="s">
        <v>1737</v>
      </c>
      <c r="H382" t="s">
        <v>2279</v>
      </c>
      <c r="I382" t="s">
        <v>2279</v>
      </c>
      <c r="J382" t="s">
        <v>2279</v>
      </c>
      <c r="K382" t="s">
        <v>2279</v>
      </c>
      <c r="L382" t="s">
        <v>1505</v>
      </c>
      <c r="M382" t="s">
        <v>2279</v>
      </c>
      <c r="N382" t="s">
        <v>2279</v>
      </c>
      <c r="O382" s="190" t="str">
        <f>"["&amp;$C382&amp;"]["&amp;$D382&amp;"]["&amp;$F382&amp;"]"</f>
        <v>[S05_DefaultValues][9][InstallationCategory]</v>
      </c>
    </row>
    <row r="383" spans="1:15" x14ac:dyDescent="0.3">
      <c r="A383" t="s">
        <v>2277</v>
      </c>
      <c r="B383" t="s">
        <v>1847</v>
      </c>
      <c r="C383" t="s">
        <v>1855</v>
      </c>
      <c r="D383">
        <v>10</v>
      </c>
      <c r="E383" t="s">
        <v>1447</v>
      </c>
      <c r="F383" t="s">
        <v>1856</v>
      </c>
      <c r="G383" t="s">
        <v>1737</v>
      </c>
      <c r="H383" t="s">
        <v>2279</v>
      </c>
      <c r="I383" t="s">
        <v>2279</v>
      </c>
      <c r="J383" t="s">
        <v>2279</v>
      </c>
      <c r="K383" t="s">
        <v>2279</v>
      </c>
      <c r="L383" t="s">
        <v>1455</v>
      </c>
      <c r="M383" t="s">
        <v>2279</v>
      </c>
      <c r="N383" t="s">
        <v>2279</v>
      </c>
      <c r="O383" s="190" t="str">
        <f>"["&amp;$C383&amp;"]["&amp;$D383&amp;"]["&amp;$F383&amp;"]"</f>
        <v>[S05_DefaultValues][10][InstallationCategory]</v>
      </c>
    </row>
    <row r="384" spans="1:15" x14ac:dyDescent="0.3">
      <c r="A384" t="s">
        <v>2277</v>
      </c>
      <c r="B384" t="s">
        <v>1847</v>
      </c>
      <c r="C384" t="s">
        <v>1855</v>
      </c>
      <c r="D384">
        <v>11</v>
      </c>
      <c r="E384" t="s">
        <v>1447</v>
      </c>
      <c r="F384" t="s">
        <v>1856</v>
      </c>
      <c r="G384" t="s">
        <v>1737</v>
      </c>
      <c r="H384" t="s">
        <v>2279</v>
      </c>
      <c r="I384" t="s">
        <v>2279</v>
      </c>
      <c r="J384" t="s">
        <v>2279</v>
      </c>
      <c r="K384" t="s">
        <v>2279</v>
      </c>
      <c r="L384" t="s">
        <v>1455</v>
      </c>
      <c r="M384" t="s">
        <v>2279</v>
      </c>
      <c r="N384" t="s">
        <v>2279</v>
      </c>
      <c r="O384" s="190" t="str">
        <f>"["&amp;$C384&amp;"]["&amp;$D384&amp;"]["&amp;$F384&amp;"]"</f>
        <v>[S05_DefaultValues][11][InstallationCategory]</v>
      </c>
    </row>
    <row r="385" spans="1:15" x14ac:dyDescent="0.3">
      <c r="A385" t="s">
        <v>2277</v>
      </c>
      <c r="B385" t="s">
        <v>1847</v>
      </c>
      <c r="C385" t="s">
        <v>1855</v>
      </c>
      <c r="D385">
        <v>12</v>
      </c>
      <c r="E385" t="s">
        <v>1447</v>
      </c>
      <c r="F385" t="s">
        <v>1856</v>
      </c>
      <c r="G385" t="s">
        <v>1737</v>
      </c>
      <c r="H385" t="s">
        <v>2279</v>
      </c>
      <c r="I385" t="s">
        <v>2279</v>
      </c>
      <c r="J385" t="s">
        <v>2279</v>
      </c>
      <c r="K385" t="s">
        <v>2279</v>
      </c>
      <c r="L385" t="s">
        <v>1505</v>
      </c>
      <c r="M385" t="s">
        <v>2279</v>
      </c>
      <c r="N385" t="s">
        <v>2279</v>
      </c>
      <c r="O385" s="190" t="str">
        <f>"["&amp;$C385&amp;"]["&amp;$D385&amp;"]["&amp;$F385&amp;"]"</f>
        <v>[S05_DefaultValues][12][InstallationCategory]</v>
      </c>
    </row>
    <row r="386" spans="1:15" x14ac:dyDescent="0.3">
      <c r="A386" t="s">
        <v>2277</v>
      </c>
      <c r="B386" t="s">
        <v>1847</v>
      </c>
      <c r="C386" t="s">
        <v>1855</v>
      </c>
      <c r="D386">
        <v>13</v>
      </c>
      <c r="E386" t="s">
        <v>1447</v>
      </c>
      <c r="F386" t="s">
        <v>1856</v>
      </c>
      <c r="G386" t="s">
        <v>1737</v>
      </c>
      <c r="H386" t="s">
        <v>2279</v>
      </c>
      <c r="I386" t="s">
        <v>2279</v>
      </c>
      <c r="J386" t="s">
        <v>2279</v>
      </c>
      <c r="K386" t="s">
        <v>2279</v>
      </c>
      <c r="L386" t="s">
        <v>1427</v>
      </c>
      <c r="M386" t="s">
        <v>2279</v>
      </c>
      <c r="N386" t="s">
        <v>2279</v>
      </c>
      <c r="O386" s="190" t="str">
        <f>"["&amp;$C386&amp;"]["&amp;$D386&amp;"]["&amp;$F386&amp;"]"</f>
        <v>[S05_DefaultValues][13][InstallationCategory]</v>
      </c>
    </row>
    <row r="387" spans="1:15" x14ac:dyDescent="0.3">
      <c r="A387" t="s">
        <v>2277</v>
      </c>
      <c r="B387" t="s">
        <v>1847</v>
      </c>
      <c r="C387" t="s">
        <v>1855</v>
      </c>
      <c r="D387">
        <v>14</v>
      </c>
      <c r="E387" t="s">
        <v>1447</v>
      </c>
      <c r="F387" t="s">
        <v>1856</v>
      </c>
      <c r="G387" t="s">
        <v>1737</v>
      </c>
      <c r="H387" t="s">
        <v>2279</v>
      </c>
      <c r="I387" t="s">
        <v>2279</v>
      </c>
      <c r="J387" t="s">
        <v>2279</v>
      </c>
      <c r="K387" t="s">
        <v>2279</v>
      </c>
      <c r="L387" t="s">
        <v>1505</v>
      </c>
      <c r="M387" t="s">
        <v>2279</v>
      </c>
      <c r="N387" t="s">
        <v>2279</v>
      </c>
      <c r="O387" s="190" t="str">
        <f>"["&amp;$C387&amp;"]["&amp;$D387&amp;"]["&amp;$F387&amp;"]"</f>
        <v>[S05_DefaultValues][14][InstallationCategory]</v>
      </c>
    </row>
    <row r="388" spans="1:15" x14ac:dyDescent="0.3">
      <c r="A388" t="s">
        <v>2277</v>
      </c>
      <c r="B388" t="s">
        <v>1847</v>
      </c>
      <c r="C388" t="s">
        <v>1855</v>
      </c>
      <c r="D388">
        <v>15</v>
      </c>
      <c r="E388" t="s">
        <v>1447</v>
      </c>
      <c r="F388" t="s">
        <v>1856</v>
      </c>
      <c r="G388" t="s">
        <v>1737</v>
      </c>
      <c r="H388" t="s">
        <v>2279</v>
      </c>
      <c r="I388" t="s">
        <v>2279</v>
      </c>
      <c r="J388" t="s">
        <v>2279</v>
      </c>
      <c r="K388" t="s">
        <v>2279</v>
      </c>
      <c r="L388" t="s">
        <v>1455</v>
      </c>
      <c r="M388" t="s">
        <v>2279</v>
      </c>
      <c r="N388" t="s">
        <v>2279</v>
      </c>
      <c r="O388" s="190" t="str">
        <f>"["&amp;$C388&amp;"]["&amp;$D388&amp;"]["&amp;$F388&amp;"]"</f>
        <v>[S05_DefaultValues][15][InstallationCategory]</v>
      </c>
    </row>
    <row r="389" spans="1:15" x14ac:dyDescent="0.3">
      <c r="A389" t="s">
        <v>2277</v>
      </c>
      <c r="B389" t="s">
        <v>1847</v>
      </c>
      <c r="C389" t="s">
        <v>1855</v>
      </c>
      <c r="D389">
        <v>16</v>
      </c>
      <c r="E389" t="s">
        <v>1447</v>
      </c>
      <c r="F389" t="s">
        <v>1856</v>
      </c>
      <c r="G389" t="s">
        <v>1737</v>
      </c>
      <c r="H389" t="s">
        <v>2279</v>
      </c>
      <c r="I389" t="s">
        <v>2279</v>
      </c>
      <c r="J389" t="s">
        <v>2279</v>
      </c>
      <c r="K389" t="s">
        <v>2279</v>
      </c>
      <c r="L389" t="s">
        <v>1455</v>
      </c>
      <c r="M389" t="s">
        <v>2279</v>
      </c>
      <c r="N389" t="s">
        <v>2279</v>
      </c>
      <c r="O389" s="190" t="str">
        <f>"["&amp;$C389&amp;"]["&amp;$D389&amp;"]["&amp;$F389&amp;"]"</f>
        <v>[S05_DefaultValues][16][InstallationCategory]</v>
      </c>
    </row>
    <row r="390" spans="1:15" x14ac:dyDescent="0.3">
      <c r="A390" t="s">
        <v>2277</v>
      </c>
      <c r="B390" t="s">
        <v>1847</v>
      </c>
      <c r="C390" t="s">
        <v>1855</v>
      </c>
      <c r="D390">
        <v>17</v>
      </c>
      <c r="E390" t="s">
        <v>1447</v>
      </c>
      <c r="F390" t="s">
        <v>1856</v>
      </c>
      <c r="G390" t="s">
        <v>1737</v>
      </c>
      <c r="H390" t="s">
        <v>2279</v>
      </c>
      <c r="I390" t="s">
        <v>2279</v>
      </c>
      <c r="J390" t="s">
        <v>2279</v>
      </c>
      <c r="K390" t="s">
        <v>2279</v>
      </c>
      <c r="L390" t="s">
        <v>1483</v>
      </c>
      <c r="M390" t="s">
        <v>2279</v>
      </c>
      <c r="N390" t="s">
        <v>2279</v>
      </c>
      <c r="O390" s="190" t="str">
        <f>"["&amp;$C390&amp;"]["&amp;$D390&amp;"]["&amp;$F390&amp;"]"</f>
        <v>[S05_DefaultValues][17][InstallationCategory]</v>
      </c>
    </row>
    <row r="391" spans="1:15" x14ac:dyDescent="0.3">
      <c r="A391" t="s">
        <v>2277</v>
      </c>
      <c r="B391" t="s">
        <v>1847</v>
      </c>
      <c r="C391" t="s">
        <v>1855</v>
      </c>
      <c r="D391">
        <v>18</v>
      </c>
      <c r="E391" t="s">
        <v>1447</v>
      </c>
      <c r="F391" t="s">
        <v>1856</v>
      </c>
      <c r="G391" t="s">
        <v>1737</v>
      </c>
      <c r="H391" t="s">
        <v>2279</v>
      </c>
      <c r="I391" t="s">
        <v>2279</v>
      </c>
      <c r="J391" t="s">
        <v>2279</v>
      </c>
      <c r="K391" t="s">
        <v>2279</v>
      </c>
      <c r="L391" t="s">
        <v>1505</v>
      </c>
      <c r="M391" t="s">
        <v>2279</v>
      </c>
      <c r="N391" t="s">
        <v>2279</v>
      </c>
      <c r="O391" s="190" t="str">
        <f>"["&amp;$C391&amp;"]["&amp;$D391&amp;"]["&amp;$F391&amp;"]"</f>
        <v>[S05_DefaultValues][18][InstallationCategory]</v>
      </c>
    </row>
    <row r="392" spans="1:15" x14ac:dyDescent="0.3">
      <c r="A392" t="s">
        <v>2277</v>
      </c>
      <c r="B392" t="s">
        <v>1847</v>
      </c>
      <c r="C392" t="s">
        <v>1855</v>
      </c>
      <c r="D392">
        <v>19</v>
      </c>
      <c r="E392" t="s">
        <v>1447</v>
      </c>
      <c r="F392" t="s">
        <v>1856</v>
      </c>
      <c r="G392" t="s">
        <v>1737</v>
      </c>
      <c r="H392" t="s">
        <v>2279</v>
      </c>
      <c r="I392" t="s">
        <v>2279</v>
      </c>
      <c r="J392" t="s">
        <v>2279</v>
      </c>
      <c r="K392" t="s">
        <v>2279</v>
      </c>
      <c r="L392" t="s">
        <v>1427</v>
      </c>
      <c r="M392" t="s">
        <v>2279</v>
      </c>
      <c r="N392" t="s">
        <v>2279</v>
      </c>
      <c r="O392" s="190" t="str">
        <f>"["&amp;$C392&amp;"]["&amp;$D392&amp;"]["&amp;$F392&amp;"]"</f>
        <v>[S05_DefaultValues][19][InstallationCategory]</v>
      </c>
    </row>
    <row r="393" spans="1:15" x14ac:dyDescent="0.3">
      <c r="A393" t="s">
        <v>2277</v>
      </c>
      <c r="B393" t="s">
        <v>1847</v>
      </c>
      <c r="C393" t="s">
        <v>1855</v>
      </c>
      <c r="D393">
        <v>20</v>
      </c>
      <c r="E393" t="s">
        <v>1447</v>
      </c>
      <c r="F393" t="s">
        <v>1856</v>
      </c>
      <c r="G393" t="s">
        <v>1737</v>
      </c>
      <c r="H393" t="s">
        <v>2279</v>
      </c>
      <c r="I393" t="s">
        <v>2279</v>
      </c>
      <c r="J393" t="s">
        <v>2279</v>
      </c>
      <c r="K393" t="s">
        <v>2279</v>
      </c>
      <c r="L393" t="s">
        <v>1505</v>
      </c>
      <c r="M393" t="s">
        <v>2279</v>
      </c>
      <c r="N393" t="s">
        <v>2279</v>
      </c>
      <c r="O393" s="190" t="str">
        <f>"["&amp;$C393&amp;"]["&amp;$D393&amp;"]["&amp;$F393&amp;"]"</f>
        <v>[S05_DefaultValues][20][InstallationCategory]</v>
      </c>
    </row>
    <row r="394" spans="1:15" x14ac:dyDescent="0.3">
      <c r="A394" t="s">
        <v>2277</v>
      </c>
      <c r="B394" t="s">
        <v>1847</v>
      </c>
      <c r="C394" t="s">
        <v>1855</v>
      </c>
      <c r="D394">
        <v>21</v>
      </c>
      <c r="E394" t="s">
        <v>1447</v>
      </c>
      <c r="F394" t="s">
        <v>1856</v>
      </c>
      <c r="G394" t="s">
        <v>1737</v>
      </c>
      <c r="H394" t="s">
        <v>2279</v>
      </c>
      <c r="I394" t="s">
        <v>2279</v>
      </c>
      <c r="J394" t="s">
        <v>2279</v>
      </c>
      <c r="K394" t="s">
        <v>2279</v>
      </c>
      <c r="L394" t="s">
        <v>1455</v>
      </c>
      <c r="M394" t="s">
        <v>2279</v>
      </c>
      <c r="N394" t="s">
        <v>2279</v>
      </c>
      <c r="O394" s="190" t="str">
        <f>"["&amp;$C394&amp;"]["&amp;$D394&amp;"]["&amp;$F394&amp;"]"</f>
        <v>[S05_DefaultValues][21][InstallationCategory]</v>
      </c>
    </row>
    <row r="395" spans="1:15" x14ac:dyDescent="0.3">
      <c r="A395" t="s">
        <v>2277</v>
      </c>
      <c r="B395" t="s">
        <v>1847</v>
      </c>
      <c r="C395" t="s">
        <v>1855</v>
      </c>
      <c r="D395">
        <v>22</v>
      </c>
      <c r="E395" t="s">
        <v>1447</v>
      </c>
      <c r="F395" t="s">
        <v>1856</v>
      </c>
      <c r="G395" t="s">
        <v>1737</v>
      </c>
      <c r="H395" t="s">
        <v>2279</v>
      </c>
      <c r="I395" t="s">
        <v>2279</v>
      </c>
      <c r="J395" t="s">
        <v>2279</v>
      </c>
      <c r="K395" t="s">
        <v>2279</v>
      </c>
      <c r="L395" t="s">
        <v>1505</v>
      </c>
      <c r="M395" t="s">
        <v>2279</v>
      </c>
      <c r="N395" t="s">
        <v>2279</v>
      </c>
      <c r="O395" s="190" t="str">
        <f>"["&amp;$C395&amp;"]["&amp;$D395&amp;"]["&amp;$F395&amp;"]"</f>
        <v>[S05_DefaultValues][22][InstallationCategory]</v>
      </c>
    </row>
    <row r="396" spans="1:15" x14ac:dyDescent="0.3">
      <c r="A396" t="s">
        <v>2277</v>
      </c>
      <c r="B396" t="s">
        <v>1847</v>
      </c>
      <c r="C396" t="s">
        <v>1855</v>
      </c>
      <c r="D396">
        <v>23</v>
      </c>
      <c r="E396" t="s">
        <v>1447</v>
      </c>
      <c r="F396" t="s">
        <v>1856</v>
      </c>
      <c r="G396" t="s">
        <v>1737</v>
      </c>
      <c r="H396" t="s">
        <v>2279</v>
      </c>
      <c r="I396" t="s">
        <v>2279</v>
      </c>
      <c r="J396" t="s">
        <v>2279</v>
      </c>
      <c r="K396" t="s">
        <v>2279</v>
      </c>
      <c r="L396" t="s">
        <v>1455</v>
      </c>
      <c r="M396" t="s">
        <v>2279</v>
      </c>
      <c r="N396" t="s">
        <v>2279</v>
      </c>
      <c r="O396" s="190" t="str">
        <f>"["&amp;$C396&amp;"]["&amp;$D396&amp;"]["&amp;$F396&amp;"]"</f>
        <v>[S05_DefaultValues][23][InstallationCategory]</v>
      </c>
    </row>
    <row r="397" spans="1:15" x14ac:dyDescent="0.3">
      <c r="A397" t="s">
        <v>2277</v>
      </c>
      <c r="B397" t="s">
        <v>1847</v>
      </c>
      <c r="C397" t="s">
        <v>1855</v>
      </c>
      <c r="D397">
        <v>24</v>
      </c>
      <c r="E397" t="s">
        <v>1447</v>
      </c>
      <c r="F397" t="s">
        <v>1856</v>
      </c>
      <c r="G397" t="s">
        <v>1737</v>
      </c>
      <c r="H397" t="s">
        <v>2279</v>
      </c>
      <c r="I397" t="s">
        <v>2279</v>
      </c>
      <c r="J397" t="s">
        <v>2279</v>
      </c>
      <c r="K397" t="s">
        <v>2279</v>
      </c>
      <c r="L397" t="s">
        <v>1505</v>
      </c>
      <c r="M397" t="s">
        <v>2279</v>
      </c>
      <c r="N397" t="s">
        <v>2279</v>
      </c>
      <c r="O397" s="190" t="str">
        <f>"["&amp;$C397&amp;"]["&amp;$D397&amp;"]["&amp;$F397&amp;"]"</f>
        <v>[S05_DefaultValues][24][InstallationCategory]</v>
      </c>
    </row>
    <row r="398" spans="1:15" x14ac:dyDescent="0.3">
      <c r="A398" t="s">
        <v>2277</v>
      </c>
      <c r="B398" t="s">
        <v>1847</v>
      </c>
      <c r="C398" t="s">
        <v>1855</v>
      </c>
      <c r="D398">
        <v>25</v>
      </c>
      <c r="E398" t="s">
        <v>1447</v>
      </c>
      <c r="F398" t="s">
        <v>1856</v>
      </c>
      <c r="G398" t="s">
        <v>1737</v>
      </c>
      <c r="H398" t="s">
        <v>2279</v>
      </c>
      <c r="I398" t="s">
        <v>2279</v>
      </c>
      <c r="J398" t="s">
        <v>2279</v>
      </c>
      <c r="K398" t="s">
        <v>2279</v>
      </c>
      <c r="L398" t="s">
        <v>1455</v>
      </c>
      <c r="M398" t="s">
        <v>2279</v>
      </c>
      <c r="N398" t="s">
        <v>2279</v>
      </c>
      <c r="O398" s="190" t="str">
        <f>"["&amp;$C398&amp;"]["&amp;$D398&amp;"]["&amp;$F398&amp;"]"</f>
        <v>[S05_DefaultValues][25][InstallationCategory]</v>
      </c>
    </row>
    <row r="399" spans="1:15" x14ac:dyDescent="0.3">
      <c r="A399" t="s">
        <v>2277</v>
      </c>
      <c r="B399" t="s">
        <v>1847</v>
      </c>
      <c r="C399" t="s">
        <v>1855</v>
      </c>
      <c r="D399">
        <v>26</v>
      </c>
      <c r="E399" t="s">
        <v>1447</v>
      </c>
      <c r="F399" t="s">
        <v>1856</v>
      </c>
      <c r="G399" t="s">
        <v>1737</v>
      </c>
      <c r="H399" t="s">
        <v>2279</v>
      </c>
      <c r="I399" t="s">
        <v>2279</v>
      </c>
      <c r="J399" t="s">
        <v>2279</v>
      </c>
      <c r="K399" t="s">
        <v>2279</v>
      </c>
      <c r="L399" t="s">
        <v>1505</v>
      </c>
      <c r="M399" t="s">
        <v>2279</v>
      </c>
      <c r="N399" t="s">
        <v>2279</v>
      </c>
      <c r="O399" s="190" t="str">
        <f>"["&amp;$C399&amp;"]["&amp;$D399&amp;"]["&amp;$F399&amp;"]"</f>
        <v>[S05_DefaultValues][26][InstallationCategory]</v>
      </c>
    </row>
    <row r="400" spans="1:15" x14ac:dyDescent="0.3">
      <c r="A400" t="s">
        <v>2277</v>
      </c>
      <c r="B400" t="s">
        <v>1847</v>
      </c>
      <c r="C400" t="s">
        <v>1855</v>
      </c>
      <c r="D400">
        <v>27</v>
      </c>
      <c r="E400" t="s">
        <v>1447</v>
      </c>
      <c r="F400" t="s">
        <v>1856</v>
      </c>
      <c r="G400" t="s">
        <v>1737</v>
      </c>
      <c r="H400" t="s">
        <v>2279</v>
      </c>
      <c r="I400" t="s">
        <v>2279</v>
      </c>
      <c r="J400" t="s">
        <v>2279</v>
      </c>
      <c r="K400" t="s">
        <v>2279</v>
      </c>
      <c r="L400" t="s">
        <v>1505</v>
      </c>
      <c r="M400" t="s">
        <v>2279</v>
      </c>
      <c r="N400" t="s">
        <v>2279</v>
      </c>
      <c r="O400" s="190" t="str">
        <f>"["&amp;$C400&amp;"]["&amp;$D400&amp;"]["&amp;$F400&amp;"]"</f>
        <v>[S05_DefaultValues][27][InstallationCategory]</v>
      </c>
    </row>
    <row r="401" spans="1:15" x14ac:dyDescent="0.3">
      <c r="A401" t="s">
        <v>2277</v>
      </c>
      <c r="B401" t="s">
        <v>1847</v>
      </c>
      <c r="C401" t="s">
        <v>1855</v>
      </c>
      <c r="D401">
        <v>28</v>
      </c>
      <c r="E401" t="s">
        <v>1447</v>
      </c>
      <c r="F401" t="s">
        <v>1856</v>
      </c>
      <c r="G401" t="s">
        <v>1737</v>
      </c>
      <c r="H401" t="s">
        <v>2279</v>
      </c>
      <c r="I401" t="s">
        <v>2279</v>
      </c>
      <c r="J401" t="s">
        <v>2279</v>
      </c>
      <c r="K401" t="s">
        <v>2279</v>
      </c>
      <c r="L401" t="s">
        <v>1455</v>
      </c>
      <c r="M401" t="s">
        <v>2279</v>
      </c>
      <c r="N401" t="s">
        <v>2279</v>
      </c>
      <c r="O401" s="190" t="str">
        <f>"["&amp;$C401&amp;"]["&amp;$D401&amp;"]["&amp;$F401&amp;"]"</f>
        <v>[S05_DefaultValues][28][InstallationCategory]</v>
      </c>
    </row>
    <row r="402" spans="1:15" x14ac:dyDescent="0.3">
      <c r="A402" t="s">
        <v>2277</v>
      </c>
      <c r="B402" t="s">
        <v>1847</v>
      </c>
      <c r="C402" t="s">
        <v>1855</v>
      </c>
      <c r="D402">
        <v>29</v>
      </c>
      <c r="E402" t="s">
        <v>1447</v>
      </c>
      <c r="F402" t="s">
        <v>1856</v>
      </c>
      <c r="G402" t="s">
        <v>1737</v>
      </c>
      <c r="H402" t="s">
        <v>2279</v>
      </c>
      <c r="I402" t="s">
        <v>2279</v>
      </c>
      <c r="J402" t="s">
        <v>2279</v>
      </c>
      <c r="K402" t="s">
        <v>2279</v>
      </c>
      <c r="L402" t="s">
        <v>1455</v>
      </c>
      <c r="M402" t="s">
        <v>2279</v>
      </c>
      <c r="N402" t="s">
        <v>2279</v>
      </c>
      <c r="O402" s="190" t="str">
        <f>"["&amp;$C402&amp;"]["&amp;$D402&amp;"]["&amp;$F402&amp;"]"</f>
        <v>[S05_DefaultValues][29][InstallationCategory]</v>
      </c>
    </row>
    <row r="403" spans="1:15" x14ac:dyDescent="0.3">
      <c r="A403" t="s">
        <v>2277</v>
      </c>
      <c r="B403" t="s">
        <v>1847</v>
      </c>
      <c r="C403" t="s">
        <v>1855</v>
      </c>
      <c r="D403">
        <v>30</v>
      </c>
      <c r="E403" t="s">
        <v>1447</v>
      </c>
      <c r="F403" t="s">
        <v>1856</v>
      </c>
      <c r="G403" t="s">
        <v>1737</v>
      </c>
      <c r="H403" t="s">
        <v>2279</v>
      </c>
      <c r="I403" t="s">
        <v>2279</v>
      </c>
      <c r="J403" t="s">
        <v>2279</v>
      </c>
      <c r="K403" t="s">
        <v>2279</v>
      </c>
      <c r="L403" t="s">
        <v>1455</v>
      </c>
      <c r="M403" t="s">
        <v>2279</v>
      </c>
      <c r="N403" t="s">
        <v>2279</v>
      </c>
      <c r="O403" s="190" t="str">
        <f>"["&amp;$C403&amp;"]["&amp;$D403&amp;"]["&amp;$F403&amp;"]"</f>
        <v>[S05_DefaultValues][30][InstallationCategory]</v>
      </c>
    </row>
    <row r="404" spans="1:15" x14ac:dyDescent="0.3">
      <c r="A404" t="s">
        <v>2277</v>
      </c>
      <c r="B404" t="s">
        <v>1847</v>
      </c>
      <c r="C404" t="s">
        <v>1855</v>
      </c>
      <c r="D404">
        <v>31</v>
      </c>
      <c r="E404" t="s">
        <v>1447</v>
      </c>
      <c r="F404" t="s">
        <v>1856</v>
      </c>
      <c r="G404" t="s">
        <v>1737</v>
      </c>
      <c r="H404" t="s">
        <v>2279</v>
      </c>
      <c r="I404" t="s">
        <v>2279</v>
      </c>
      <c r="J404" t="s">
        <v>2279</v>
      </c>
      <c r="K404" t="s">
        <v>2279</v>
      </c>
      <c r="L404" t="s">
        <v>1505</v>
      </c>
      <c r="M404" t="s">
        <v>2279</v>
      </c>
      <c r="N404" t="s">
        <v>2279</v>
      </c>
      <c r="O404" s="190" t="str">
        <f>"["&amp;$C404&amp;"]["&amp;$D404&amp;"]["&amp;$F404&amp;"]"</f>
        <v>[S05_DefaultValues][31][InstallationCategory]</v>
      </c>
    </row>
    <row r="405" spans="1:15" x14ac:dyDescent="0.3">
      <c r="A405" t="s">
        <v>2277</v>
      </c>
      <c r="B405" t="s">
        <v>1847</v>
      </c>
      <c r="C405" t="s">
        <v>1855</v>
      </c>
      <c r="D405">
        <v>32</v>
      </c>
      <c r="E405" t="s">
        <v>1447</v>
      </c>
      <c r="F405" t="s">
        <v>1856</v>
      </c>
      <c r="G405" t="s">
        <v>1737</v>
      </c>
      <c r="H405" t="s">
        <v>2279</v>
      </c>
      <c r="I405" t="s">
        <v>2279</v>
      </c>
      <c r="J405" t="s">
        <v>2279</v>
      </c>
      <c r="K405" t="s">
        <v>2279</v>
      </c>
      <c r="L405" t="s">
        <v>1427</v>
      </c>
      <c r="M405" t="s">
        <v>2279</v>
      </c>
      <c r="N405" t="s">
        <v>2279</v>
      </c>
      <c r="O405" s="190" t="str">
        <f>"["&amp;$C405&amp;"]["&amp;$D405&amp;"]["&amp;$F405&amp;"]"</f>
        <v>[S05_DefaultValues][32][InstallationCategory]</v>
      </c>
    </row>
    <row r="406" spans="1:15" x14ac:dyDescent="0.3">
      <c r="A406" t="s">
        <v>2277</v>
      </c>
      <c r="B406" t="s">
        <v>1847</v>
      </c>
      <c r="C406" t="s">
        <v>1855</v>
      </c>
      <c r="D406">
        <v>33</v>
      </c>
      <c r="E406" t="s">
        <v>1447</v>
      </c>
      <c r="F406" t="s">
        <v>1856</v>
      </c>
      <c r="G406" t="s">
        <v>1737</v>
      </c>
      <c r="H406" t="s">
        <v>2279</v>
      </c>
      <c r="I406" t="s">
        <v>2279</v>
      </c>
      <c r="J406" t="s">
        <v>2279</v>
      </c>
      <c r="K406" t="s">
        <v>2279</v>
      </c>
      <c r="L406" t="s">
        <v>1505</v>
      </c>
      <c r="M406" t="s">
        <v>2279</v>
      </c>
      <c r="N406" t="s">
        <v>2279</v>
      </c>
      <c r="O406" s="190" t="str">
        <f>"["&amp;$C406&amp;"]["&amp;$D406&amp;"]["&amp;$F406&amp;"]"</f>
        <v>[S05_DefaultValues][33][InstallationCategory]</v>
      </c>
    </row>
    <row r="407" spans="1:15" x14ac:dyDescent="0.3">
      <c r="A407" t="s">
        <v>2277</v>
      </c>
      <c r="B407" t="s">
        <v>1847</v>
      </c>
      <c r="C407" t="s">
        <v>1855</v>
      </c>
      <c r="D407">
        <v>34</v>
      </c>
      <c r="E407" t="s">
        <v>1447</v>
      </c>
      <c r="F407" t="s">
        <v>1856</v>
      </c>
      <c r="G407" t="s">
        <v>1737</v>
      </c>
      <c r="H407" t="s">
        <v>2279</v>
      </c>
      <c r="I407" t="s">
        <v>2279</v>
      </c>
      <c r="J407" t="s">
        <v>2279</v>
      </c>
      <c r="K407" t="s">
        <v>2279</v>
      </c>
      <c r="L407" t="s">
        <v>1427</v>
      </c>
      <c r="M407" t="s">
        <v>2279</v>
      </c>
      <c r="N407" t="s">
        <v>2279</v>
      </c>
      <c r="O407" s="190" t="str">
        <f>"["&amp;$C407&amp;"]["&amp;$D407&amp;"]["&amp;$F407&amp;"]"</f>
        <v>[S05_DefaultValues][34][InstallationCategory]</v>
      </c>
    </row>
    <row r="408" spans="1:15" x14ac:dyDescent="0.3">
      <c r="A408" t="s">
        <v>2277</v>
      </c>
      <c r="B408" t="s">
        <v>1847</v>
      </c>
      <c r="C408" t="s">
        <v>1855</v>
      </c>
      <c r="D408">
        <v>35</v>
      </c>
      <c r="E408" t="s">
        <v>1447</v>
      </c>
      <c r="F408" t="s">
        <v>1856</v>
      </c>
      <c r="G408" t="s">
        <v>1737</v>
      </c>
      <c r="H408" t="s">
        <v>2279</v>
      </c>
      <c r="I408" t="s">
        <v>2279</v>
      </c>
      <c r="J408" t="s">
        <v>2279</v>
      </c>
      <c r="K408" t="s">
        <v>2279</v>
      </c>
      <c r="L408" t="s">
        <v>1455</v>
      </c>
      <c r="M408" t="s">
        <v>2279</v>
      </c>
      <c r="N408" t="s">
        <v>2279</v>
      </c>
      <c r="O408" s="190" t="str">
        <f>"["&amp;$C408&amp;"]["&amp;$D408&amp;"]["&amp;$F408&amp;"]"</f>
        <v>[S05_DefaultValues][35][InstallationCategory]</v>
      </c>
    </row>
    <row r="409" spans="1:15" x14ac:dyDescent="0.3">
      <c r="A409" t="s">
        <v>2277</v>
      </c>
      <c r="B409" t="s">
        <v>1847</v>
      </c>
      <c r="C409" t="s">
        <v>1855</v>
      </c>
      <c r="D409">
        <v>36</v>
      </c>
      <c r="E409" t="s">
        <v>1447</v>
      </c>
      <c r="F409" t="s">
        <v>1856</v>
      </c>
      <c r="G409" t="s">
        <v>1737</v>
      </c>
      <c r="H409" t="s">
        <v>2279</v>
      </c>
      <c r="I409" t="s">
        <v>2279</v>
      </c>
      <c r="J409" t="s">
        <v>2279</v>
      </c>
      <c r="K409" t="s">
        <v>2279</v>
      </c>
      <c r="L409" t="s">
        <v>1483</v>
      </c>
      <c r="M409" t="s">
        <v>2279</v>
      </c>
      <c r="N409" t="s">
        <v>2279</v>
      </c>
      <c r="O409" s="190" t="str">
        <f>"["&amp;$C409&amp;"]["&amp;$D409&amp;"]["&amp;$F409&amp;"]"</f>
        <v>[S05_DefaultValues][36][InstallationCategory]</v>
      </c>
    </row>
    <row r="410" spans="1:15" x14ac:dyDescent="0.3">
      <c r="A410" t="s">
        <v>2277</v>
      </c>
      <c r="B410" t="s">
        <v>1847</v>
      </c>
      <c r="C410" t="s">
        <v>1855</v>
      </c>
      <c r="D410">
        <v>37</v>
      </c>
      <c r="E410" t="s">
        <v>1447</v>
      </c>
      <c r="F410" t="s">
        <v>1856</v>
      </c>
      <c r="G410" t="s">
        <v>1737</v>
      </c>
      <c r="H410" t="s">
        <v>2279</v>
      </c>
      <c r="I410" t="s">
        <v>2279</v>
      </c>
      <c r="J410" t="s">
        <v>2279</v>
      </c>
      <c r="K410" t="s">
        <v>2279</v>
      </c>
      <c r="L410" t="s">
        <v>1505</v>
      </c>
      <c r="M410" t="s">
        <v>2279</v>
      </c>
      <c r="N410" t="s">
        <v>2279</v>
      </c>
      <c r="O410" s="190" t="str">
        <f>"["&amp;$C410&amp;"]["&amp;$D410&amp;"]["&amp;$F410&amp;"]"</f>
        <v>[S05_DefaultValues][37][InstallationCategory]</v>
      </c>
    </row>
    <row r="411" spans="1:15" x14ac:dyDescent="0.3">
      <c r="A411" t="s">
        <v>2277</v>
      </c>
      <c r="B411" t="s">
        <v>1847</v>
      </c>
      <c r="C411" t="s">
        <v>1855</v>
      </c>
      <c r="D411">
        <v>38</v>
      </c>
      <c r="E411" t="s">
        <v>1447</v>
      </c>
      <c r="F411" t="s">
        <v>1856</v>
      </c>
      <c r="G411" t="s">
        <v>1737</v>
      </c>
      <c r="H411" t="s">
        <v>2279</v>
      </c>
      <c r="I411" t="s">
        <v>2279</v>
      </c>
      <c r="J411" t="s">
        <v>2279</v>
      </c>
      <c r="K411" t="s">
        <v>2279</v>
      </c>
      <c r="L411" t="s">
        <v>1427</v>
      </c>
      <c r="M411" t="s">
        <v>2279</v>
      </c>
      <c r="N411" t="s">
        <v>2279</v>
      </c>
      <c r="O411" s="190" t="str">
        <f>"["&amp;$C411&amp;"]["&amp;$D411&amp;"]["&amp;$F411&amp;"]"</f>
        <v>[S05_DefaultValues][38][InstallationCategory]</v>
      </c>
    </row>
    <row r="412" spans="1:15" x14ac:dyDescent="0.3">
      <c r="A412" t="s">
        <v>2277</v>
      </c>
      <c r="B412" t="s">
        <v>1847</v>
      </c>
      <c r="C412" t="s">
        <v>1855</v>
      </c>
      <c r="D412">
        <v>39</v>
      </c>
      <c r="E412" t="s">
        <v>1447</v>
      </c>
      <c r="F412" t="s">
        <v>1856</v>
      </c>
      <c r="G412" t="s">
        <v>1737</v>
      </c>
      <c r="H412" t="s">
        <v>2279</v>
      </c>
      <c r="I412" t="s">
        <v>2279</v>
      </c>
      <c r="J412" t="s">
        <v>2279</v>
      </c>
      <c r="K412" t="s">
        <v>2279</v>
      </c>
      <c r="L412" t="s">
        <v>1483</v>
      </c>
      <c r="M412" t="s">
        <v>2279</v>
      </c>
      <c r="N412" t="s">
        <v>2279</v>
      </c>
      <c r="O412" s="190" t="str">
        <f>"["&amp;$C412&amp;"]["&amp;$D412&amp;"]["&amp;$F412&amp;"]"</f>
        <v>[S05_DefaultValues][39][InstallationCategory]</v>
      </c>
    </row>
    <row r="413" spans="1:15" x14ac:dyDescent="0.3">
      <c r="A413" t="s">
        <v>2277</v>
      </c>
      <c r="B413" t="s">
        <v>1847</v>
      </c>
      <c r="C413" t="s">
        <v>1855</v>
      </c>
      <c r="D413">
        <v>40</v>
      </c>
      <c r="E413" t="s">
        <v>1447</v>
      </c>
      <c r="F413" t="s">
        <v>1856</v>
      </c>
      <c r="G413" t="s">
        <v>1737</v>
      </c>
      <c r="H413" t="s">
        <v>2279</v>
      </c>
      <c r="I413" t="s">
        <v>2279</v>
      </c>
      <c r="J413" t="s">
        <v>2279</v>
      </c>
      <c r="K413" t="s">
        <v>2279</v>
      </c>
      <c r="L413" t="s">
        <v>1505</v>
      </c>
      <c r="M413" t="s">
        <v>2279</v>
      </c>
      <c r="N413" t="s">
        <v>2279</v>
      </c>
      <c r="O413" s="190" t="str">
        <f>"["&amp;$C413&amp;"]["&amp;$D413&amp;"]["&amp;$F413&amp;"]"</f>
        <v>[S05_DefaultValues][40][InstallationCategory]</v>
      </c>
    </row>
    <row r="414" spans="1:15" x14ac:dyDescent="0.3">
      <c r="A414" t="s">
        <v>2277</v>
      </c>
      <c r="B414" t="s">
        <v>1847</v>
      </c>
      <c r="C414" t="s">
        <v>1855</v>
      </c>
      <c r="D414">
        <v>41</v>
      </c>
      <c r="E414" t="s">
        <v>1447</v>
      </c>
      <c r="F414" t="s">
        <v>1856</v>
      </c>
      <c r="G414" t="s">
        <v>1737</v>
      </c>
      <c r="H414" t="s">
        <v>2279</v>
      </c>
      <c r="I414" t="s">
        <v>2279</v>
      </c>
      <c r="J414" t="s">
        <v>2279</v>
      </c>
      <c r="K414" t="s">
        <v>2279</v>
      </c>
      <c r="L414" t="s">
        <v>1455</v>
      </c>
      <c r="M414" t="s">
        <v>2279</v>
      </c>
      <c r="N414" t="s">
        <v>2279</v>
      </c>
      <c r="O414" s="190" t="str">
        <f>"["&amp;$C414&amp;"]["&amp;$D414&amp;"]["&amp;$F414&amp;"]"</f>
        <v>[S05_DefaultValues][41][InstallationCategory]</v>
      </c>
    </row>
    <row r="415" spans="1:15" x14ac:dyDescent="0.3">
      <c r="A415" t="s">
        <v>2277</v>
      </c>
      <c r="B415" t="s">
        <v>1847</v>
      </c>
      <c r="C415" t="s">
        <v>1855</v>
      </c>
      <c r="D415">
        <v>42</v>
      </c>
      <c r="E415" t="s">
        <v>1447</v>
      </c>
      <c r="F415" t="s">
        <v>1856</v>
      </c>
      <c r="G415" t="s">
        <v>1737</v>
      </c>
      <c r="H415" t="s">
        <v>2279</v>
      </c>
      <c r="I415" t="s">
        <v>2279</v>
      </c>
      <c r="J415" t="s">
        <v>2279</v>
      </c>
      <c r="K415" t="s">
        <v>2279</v>
      </c>
      <c r="L415" t="s">
        <v>1505</v>
      </c>
      <c r="M415" t="s">
        <v>2279</v>
      </c>
      <c r="N415" t="s">
        <v>2279</v>
      </c>
      <c r="O415" s="190" t="str">
        <f>"["&amp;$C415&amp;"]["&amp;$D415&amp;"]["&amp;$F415&amp;"]"</f>
        <v>[S05_DefaultValues][42][InstallationCategory]</v>
      </c>
    </row>
    <row r="416" spans="1:15" x14ac:dyDescent="0.3">
      <c r="A416" t="s">
        <v>2277</v>
      </c>
      <c r="B416" t="s">
        <v>1847</v>
      </c>
      <c r="C416" t="s">
        <v>1855</v>
      </c>
      <c r="D416">
        <v>43</v>
      </c>
      <c r="E416" t="s">
        <v>1447</v>
      </c>
      <c r="F416" t="s">
        <v>1856</v>
      </c>
      <c r="G416" t="s">
        <v>1737</v>
      </c>
      <c r="H416" t="s">
        <v>2279</v>
      </c>
      <c r="I416" t="s">
        <v>2279</v>
      </c>
      <c r="J416" t="s">
        <v>2279</v>
      </c>
      <c r="K416" t="s">
        <v>2279</v>
      </c>
      <c r="L416" t="s">
        <v>1483</v>
      </c>
      <c r="M416" t="s">
        <v>2279</v>
      </c>
      <c r="N416" t="s">
        <v>2279</v>
      </c>
      <c r="O416" s="190" t="str">
        <f>"["&amp;$C416&amp;"]["&amp;$D416&amp;"]["&amp;$F416&amp;"]"</f>
        <v>[S05_DefaultValues][43][InstallationCategory]</v>
      </c>
    </row>
    <row r="417" spans="1:15" x14ac:dyDescent="0.3">
      <c r="A417" t="s">
        <v>2277</v>
      </c>
      <c r="B417" t="s">
        <v>1847</v>
      </c>
      <c r="C417" t="s">
        <v>1855</v>
      </c>
      <c r="D417">
        <v>44</v>
      </c>
      <c r="E417" t="s">
        <v>1447</v>
      </c>
      <c r="F417" t="s">
        <v>1856</v>
      </c>
      <c r="G417" t="s">
        <v>1737</v>
      </c>
      <c r="H417" t="s">
        <v>2279</v>
      </c>
      <c r="I417" t="s">
        <v>2279</v>
      </c>
      <c r="J417" t="s">
        <v>2279</v>
      </c>
      <c r="K417" t="s">
        <v>2279</v>
      </c>
      <c r="L417" t="s">
        <v>1427</v>
      </c>
      <c r="M417" t="s">
        <v>2279</v>
      </c>
      <c r="N417" t="s">
        <v>2279</v>
      </c>
      <c r="O417" s="190" t="str">
        <f>"["&amp;$C417&amp;"]["&amp;$D417&amp;"]["&amp;$F417&amp;"]"</f>
        <v>[S05_DefaultValues][44][InstallationCategory]</v>
      </c>
    </row>
    <row r="418" spans="1:15" x14ac:dyDescent="0.3">
      <c r="A418" t="s">
        <v>2277</v>
      </c>
      <c r="B418" t="s">
        <v>1847</v>
      </c>
      <c r="C418" t="s">
        <v>1855</v>
      </c>
      <c r="D418">
        <v>45</v>
      </c>
      <c r="E418" t="s">
        <v>1447</v>
      </c>
      <c r="F418" t="s">
        <v>1856</v>
      </c>
      <c r="G418" t="s">
        <v>1737</v>
      </c>
      <c r="H418" t="s">
        <v>2279</v>
      </c>
      <c r="I418" t="s">
        <v>2279</v>
      </c>
      <c r="J418" t="s">
        <v>2279</v>
      </c>
      <c r="K418" t="s">
        <v>2279</v>
      </c>
      <c r="L418" t="s">
        <v>1483</v>
      </c>
      <c r="M418" t="s">
        <v>2279</v>
      </c>
      <c r="N418" t="s">
        <v>2279</v>
      </c>
      <c r="O418" s="190" t="str">
        <f>"["&amp;$C418&amp;"]["&amp;$D418&amp;"]["&amp;$F418&amp;"]"</f>
        <v>[S05_DefaultValues][45][InstallationCategory]</v>
      </c>
    </row>
    <row r="419" spans="1:15" x14ac:dyDescent="0.3">
      <c r="A419" t="s">
        <v>2277</v>
      </c>
      <c r="B419" t="s">
        <v>1847</v>
      </c>
      <c r="C419" t="s">
        <v>1855</v>
      </c>
      <c r="D419">
        <v>1</v>
      </c>
      <c r="E419" t="s">
        <v>1447</v>
      </c>
      <c r="F419" t="s">
        <v>1857</v>
      </c>
      <c r="G419" t="s">
        <v>1741</v>
      </c>
      <c r="H419" t="s">
        <v>2319</v>
      </c>
      <c r="I419" t="s">
        <v>2279</v>
      </c>
      <c r="J419" t="s">
        <v>2279</v>
      </c>
      <c r="K419" t="s">
        <v>2279</v>
      </c>
      <c r="L419" t="s">
        <v>2279</v>
      </c>
      <c r="M419" t="s">
        <v>2279</v>
      </c>
      <c r="N419" t="s">
        <v>2279</v>
      </c>
      <c r="O419" s="190" t="str">
        <f>"["&amp;$C419&amp;"]["&amp;$D419&amp;"]["&amp;$F419&amp;"]"</f>
        <v>[S05_DefaultValues][1][FuelMaterialType]</v>
      </c>
    </row>
    <row r="420" spans="1:15" x14ac:dyDescent="0.3">
      <c r="A420" t="s">
        <v>2277</v>
      </c>
      <c r="B420" t="s">
        <v>1847</v>
      </c>
      <c r="C420" t="s">
        <v>1855</v>
      </c>
      <c r="D420">
        <v>2</v>
      </c>
      <c r="E420" t="s">
        <v>1447</v>
      </c>
      <c r="F420" t="s">
        <v>1857</v>
      </c>
      <c r="G420" t="s">
        <v>1741</v>
      </c>
      <c r="H420" t="s">
        <v>2319</v>
      </c>
      <c r="I420" t="s">
        <v>2279</v>
      </c>
      <c r="J420" t="s">
        <v>2279</v>
      </c>
      <c r="K420" t="s">
        <v>2279</v>
      </c>
      <c r="L420" t="s">
        <v>2279</v>
      </c>
      <c r="M420" t="s">
        <v>2279</v>
      </c>
      <c r="N420" t="s">
        <v>2279</v>
      </c>
      <c r="O420" s="190" t="str">
        <f>"["&amp;$C420&amp;"]["&amp;$D420&amp;"]["&amp;$F420&amp;"]"</f>
        <v>[S05_DefaultValues][2][FuelMaterialType]</v>
      </c>
    </row>
    <row r="421" spans="1:15" x14ac:dyDescent="0.3">
      <c r="A421" t="s">
        <v>2277</v>
      </c>
      <c r="B421" t="s">
        <v>1847</v>
      </c>
      <c r="C421" t="s">
        <v>1855</v>
      </c>
      <c r="D421">
        <v>3</v>
      </c>
      <c r="E421" t="s">
        <v>1447</v>
      </c>
      <c r="F421" t="s">
        <v>1857</v>
      </c>
      <c r="G421" t="s">
        <v>1741</v>
      </c>
      <c r="H421" t="s">
        <v>2319</v>
      </c>
      <c r="I421" t="s">
        <v>2279</v>
      </c>
      <c r="J421" t="s">
        <v>2279</v>
      </c>
      <c r="K421" t="s">
        <v>2279</v>
      </c>
      <c r="L421" t="s">
        <v>2279</v>
      </c>
      <c r="M421" t="s">
        <v>2279</v>
      </c>
      <c r="N421" t="s">
        <v>2279</v>
      </c>
      <c r="O421" s="190" t="str">
        <f>"["&amp;$C421&amp;"]["&amp;$D421&amp;"]["&amp;$F421&amp;"]"</f>
        <v>[S05_DefaultValues][3][FuelMaterialType]</v>
      </c>
    </row>
    <row r="422" spans="1:15" x14ac:dyDescent="0.3">
      <c r="A422" t="s">
        <v>2277</v>
      </c>
      <c r="B422" t="s">
        <v>1847</v>
      </c>
      <c r="C422" t="s">
        <v>1855</v>
      </c>
      <c r="D422">
        <v>4</v>
      </c>
      <c r="E422" t="s">
        <v>1447</v>
      </c>
      <c r="F422" t="s">
        <v>1857</v>
      </c>
      <c r="G422" t="s">
        <v>1741</v>
      </c>
      <c r="H422" t="s">
        <v>2319</v>
      </c>
      <c r="I422" t="s">
        <v>2279</v>
      </c>
      <c r="J422" t="s">
        <v>2279</v>
      </c>
      <c r="K422" t="s">
        <v>2279</v>
      </c>
      <c r="L422" t="s">
        <v>2279</v>
      </c>
      <c r="M422" t="s">
        <v>2279</v>
      </c>
      <c r="N422" t="s">
        <v>2279</v>
      </c>
      <c r="O422" s="190" t="str">
        <f>"["&amp;$C422&amp;"]["&amp;$D422&amp;"]["&amp;$F422&amp;"]"</f>
        <v>[S05_DefaultValues][4][FuelMaterialType]</v>
      </c>
    </row>
    <row r="423" spans="1:15" x14ac:dyDescent="0.3">
      <c r="A423" t="s">
        <v>2277</v>
      </c>
      <c r="B423" t="s">
        <v>1847</v>
      </c>
      <c r="C423" t="s">
        <v>1855</v>
      </c>
      <c r="D423">
        <v>5</v>
      </c>
      <c r="E423" t="s">
        <v>1447</v>
      </c>
      <c r="F423" t="s">
        <v>1857</v>
      </c>
      <c r="G423" t="s">
        <v>1741</v>
      </c>
      <c r="H423" t="s">
        <v>2320</v>
      </c>
      <c r="I423" t="s">
        <v>2279</v>
      </c>
      <c r="J423" t="s">
        <v>2279</v>
      </c>
      <c r="K423" t="s">
        <v>2279</v>
      </c>
      <c r="L423" t="s">
        <v>2279</v>
      </c>
      <c r="M423" t="s">
        <v>2279</v>
      </c>
      <c r="N423" t="s">
        <v>2279</v>
      </c>
      <c r="O423" s="190" t="str">
        <f>"["&amp;$C423&amp;"]["&amp;$D423&amp;"]["&amp;$F423&amp;"]"</f>
        <v>[S05_DefaultValues][5][FuelMaterialType]</v>
      </c>
    </row>
    <row r="424" spans="1:15" x14ac:dyDescent="0.3">
      <c r="A424" t="s">
        <v>2277</v>
      </c>
      <c r="B424" t="s">
        <v>1847</v>
      </c>
      <c r="C424" t="s">
        <v>1855</v>
      </c>
      <c r="D424">
        <v>6</v>
      </c>
      <c r="E424" t="s">
        <v>1447</v>
      </c>
      <c r="F424" t="s">
        <v>1857</v>
      </c>
      <c r="G424" t="s">
        <v>1741</v>
      </c>
      <c r="H424" t="s">
        <v>2321</v>
      </c>
      <c r="I424" t="s">
        <v>2279</v>
      </c>
      <c r="J424" t="s">
        <v>2279</v>
      </c>
      <c r="K424" t="s">
        <v>2279</v>
      </c>
      <c r="L424" t="s">
        <v>2279</v>
      </c>
      <c r="M424" t="s">
        <v>2279</v>
      </c>
      <c r="N424" t="s">
        <v>2279</v>
      </c>
      <c r="O424" s="190" t="str">
        <f>"["&amp;$C424&amp;"]["&amp;$D424&amp;"]["&amp;$F424&amp;"]"</f>
        <v>[S05_DefaultValues][6][FuelMaterialType]</v>
      </c>
    </row>
    <row r="425" spans="1:15" x14ac:dyDescent="0.3">
      <c r="A425" t="s">
        <v>2277</v>
      </c>
      <c r="B425" t="s">
        <v>1847</v>
      </c>
      <c r="C425" t="s">
        <v>1855</v>
      </c>
      <c r="D425">
        <v>7</v>
      </c>
      <c r="E425" t="s">
        <v>1447</v>
      </c>
      <c r="F425" t="s">
        <v>1857</v>
      </c>
      <c r="G425" t="s">
        <v>1741</v>
      </c>
      <c r="H425" t="s">
        <v>2322</v>
      </c>
      <c r="I425" t="s">
        <v>2279</v>
      </c>
      <c r="J425" t="s">
        <v>2279</v>
      </c>
      <c r="K425" t="s">
        <v>2279</v>
      </c>
      <c r="L425" t="s">
        <v>2279</v>
      </c>
      <c r="M425" t="s">
        <v>2279</v>
      </c>
      <c r="N425" t="s">
        <v>2279</v>
      </c>
      <c r="O425" s="190" t="str">
        <f>"["&amp;$C425&amp;"]["&amp;$D425&amp;"]["&amp;$F425&amp;"]"</f>
        <v>[S05_DefaultValues][7][FuelMaterialType]</v>
      </c>
    </row>
    <row r="426" spans="1:15" x14ac:dyDescent="0.3">
      <c r="A426" t="s">
        <v>2277</v>
      </c>
      <c r="B426" t="s">
        <v>1847</v>
      </c>
      <c r="C426" t="s">
        <v>1855</v>
      </c>
      <c r="D426">
        <v>8</v>
      </c>
      <c r="E426" t="s">
        <v>1447</v>
      </c>
      <c r="F426" t="s">
        <v>1857</v>
      </c>
      <c r="G426" t="s">
        <v>1741</v>
      </c>
      <c r="H426" t="s">
        <v>2323</v>
      </c>
      <c r="I426" t="s">
        <v>2279</v>
      </c>
      <c r="J426" t="s">
        <v>2279</v>
      </c>
      <c r="K426" t="s">
        <v>2279</v>
      </c>
      <c r="L426" t="s">
        <v>2279</v>
      </c>
      <c r="M426" t="s">
        <v>2279</v>
      </c>
      <c r="N426" t="s">
        <v>2279</v>
      </c>
      <c r="O426" s="190" t="str">
        <f>"["&amp;$C426&amp;"]["&amp;$D426&amp;"]["&amp;$F426&amp;"]"</f>
        <v>[S05_DefaultValues][8][FuelMaterialType]</v>
      </c>
    </row>
    <row r="427" spans="1:15" x14ac:dyDescent="0.3">
      <c r="A427" t="s">
        <v>2277</v>
      </c>
      <c r="B427" t="s">
        <v>1847</v>
      </c>
      <c r="C427" t="s">
        <v>1855</v>
      </c>
      <c r="D427">
        <v>9</v>
      </c>
      <c r="E427" t="s">
        <v>1447</v>
      </c>
      <c r="F427" t="s">
        <v>1857</v>
      </c>
      <c r="G427" t="s">
        <v>1741</v>
      </c>
      <c r="H427" t="s">
        <v>2324</v>
      </c>
      <c r="I427" t="s">
        <v>2279</v>
      </c>
      <c r="J427" t="s">
        <v>2279</v>
      </c>
      <c r="K427" t="s">
        <v>2279</v>
      </c>
      <c r="L427" t="s">
        <v>2279</v>
      </c>
      <c r="M427" t="s">
        <v>2279</v>
      </c>
      <c r="N427" t="s">
        <v>2279</v>
      </c>
      <c r="O427" s="190" t="str">
        <f>"["&amp;$C427&amp;"]["&amp;$D427&amp;"]["&amp;$F427&amp;"]"</f>
        <v>[S05_DefaultValues][9][FuelMaterialType]</v>
      </c>
    </row>
    <row r="428" spans="1:15" x14ac:dyDescent="0.3">
      <c r="A428" t="s">
        <v>2277</v>
      </c>
      <c r="B428" t="s">
        <v>1847</v>
      </c>
      <c r="C428" t="s">
        <v>1855</v>
      </c>
      <c r="D428">
        <v>10</v>
      </c>
      <c r="E428" t="s">
        <v>1447</v>
      </c>
      <c r="F428" t="s">
        <v>1857</v>
      </c>
      <c r="G428" t="s">
        <v>1741</v>
      </c>
      <c r="H428" t="s">
        <v>2324</v>
      </c>
      <c r="I428" t="s">
        <v>2279</v>
      </c>
      <c r="J428" t="s">
        <v>2279</v>
      </c>
      <c r="K428" t="s">
        <v>2279</v>
      </c>
      <c r="L428" t="s">
        <v>2279</v>
      </c>
      <c r="M428" t="s">
        <v>2279</v>
      </c>
      <c r="N428" t="s">
        <v>2279</v>
      </c>
      <c r="O428" s="190" t="str">
        <f>"["&amp;$C428&amp;"]["&amp;$D428&amp;"]["&amp;$F428&amp;"]"</f>
        <v>[S05_DefaultValues][10][FuelMaterialType]</v>
      </c>
    </row>
    <row r="429" spans="1:15" x14ac:dyDescent="0.3">
      <c r="A429" t="s">
        <v>2277</v>
      </c>
      <c r="B429" t="s">
        <v>1847</v>
      </c>
      <c r="C429" t="s">
        <v>1855</v>
      </c>
      <c r="D429">
        <v>11</v>
      </c>
      <c r="E429" t="s">
        <v>1447</v>
      </c>
      <c r="F429" t="s">
        <v>1857</v>
      </c>
      <c r="G429" t="s">
        <v>1741</v>
      </c>
      <c r="H429" t="s">
        <v>2325</v>
      </c>
      <c r="I429" t="s">
        <v>2279</v>
      </c>
      <c r="J429" t="s">
        <v>2279</v>
      </c>
      <c r="K429" t="s">
        <v>2279</v>
      </c>
      <c r="L429" t="s">
        <v>2279</v>
      </c>
      <c r="M429" t="s">
        <v>2279</v>
      </c>
      <c r="N429" t="s">
        <v>2279</v>
      </c>
      <c r="O429" s="190" t="str">
        <f>"["&amp;$C429&amp;"]["&amp;$D429&amp;"]["&amp;$F429&amp;"]"</f>
        <v>[S05_DefaultValues][11][FuelMaterialType]</v>
      </c>
    </row>
    <row r="430" spans="1:15" x14ac:dyDescent="0.3">
      <c r="A430" t="s">
        <v>2277</v>
      </c>
      <c r="B430" t="s">
        <v>1847</v>
      </c>
      <c r="C430" t="s">
        <v>1855</v>
      </c>
      <c r="D430">
        <v>12</v>
      </c>
      <c r="E430" t="s">
        <v>1447</v>
      </c>
      <c r="F430" t="s">
        <v>1857</v>
      </c>
      <c r="G430" t="s">
        <v>1741</v>
      </c>
      <c r="H430" t="s">
        <v>2326</v>
      </c>
      <c r="I430" t="s">
        <v>2279</v>
      </c>
      <c r="J430" t="s">
        <v>2279</v>
      </c>
      <c r="K430" t="s">
        <v>2279</v>
      </c>
      <c r="L430" t="s">
        <v>2279</v>
      </c>
      <c r="M430" t="s">
        <v>2279</v>
      </c>
      <c r="N430" t="s">
        <v>2279</v>
      </c>
      <c r="O430" s="190" t="str">
        <f>"["&amp;$C430&amp;"]["&amp;$D430&amp;"]["&amp;$F430&amp;"]"</f>
        <v>[S05_DefaultValues][12][FuelMaterialType]</v>
      </c>
    </row>
    <row r="431" spans="1:15" x14ac:dyDescent="0.3">
      <c r="A431" t="s">
        <v>2277</v>
      </c>
      <c r="B431" t="s">
        <v>1847</v>
      </c>
      <c r="C431" t="s">
        <v>1855</v>
      </c>
      <c r="D431">
        <v>13</v>
      </c>
      <c r="E431" t="s">
        <v>1447</v>
      </c>
      <c r="F431" t="s">
        <v>1857</v>
      </c>
      <c r="G431" t="s">
        <v>1741</v>
      </c>
      <c r="H431" t="s">
        <v>2326</v>
      </c>
      <c r="I431" t="s">
        <v>2279</v>
      </c>
      <c r="J431" t="s">
        <v>2279</v>
      </c>
      <c r="K431" t="s">
        <v>2279</v>
      </c>
      <c r="L431" t="s">
        <v>2279</v>
      </c>
      <c r="M431" t="s">
        <v>2279</v>
      </c>
      <c r="N431" t="s">
        <v>2279</v>
      </c>
      <c r="O431" s="190" t="str">
        <f>"["&amp;$C431&amp;"]["&amp;$D431&amp;"]["&amp;$F431&amp;"]"</f>
        <v>[S05_DefaultValues][13][FuelMaterialType]</v>
      </c>
    </row>
    <row r="432" spans="1:15" x14ac:dyDescent="0.3">
      <c r="A432" t="s">
        <v>2277</v>
      </c>
      <c r="B432" t="s">
        <v>1847</v>
      </c>
      <c r="C432" t="s">
        <v>1855</v>
      </c>
      <c r="D432">
        <v>14</v>
      </c>
      <c r="E432" t="s">
        <v>1447</v>
      </c>
      <c r="F432" t="s">
        <v>1857</v>
      </c>
      <c r="G432" t="s">
        <v>1741</v>
      </c>
      <c r="H432" t="s">
        <v>2327</v>
      </c>
      <c r="I432" t="s">
        <v>2279</v>
      </c>
      <c r="J432" t="s">
        <v>2279</v>
      </c>
      <c r="K432" t="s">
        <v>2279</v>
      </c>
      <c r="L432" t="s">
        <v>2279</v>
      </c>
      <c r="M432" t="s">
        <v>2279</v>
      </c>
      <c r="N432" t="s">
        <v>2279</v>
      </c>
      <c r="O432" s="190" t="str">
        <f>"["&amp;$C432&amp;"]["&amp;$D432&amp;"]["&amp;$F432&amp;"]"</f>
        <v>[S05_DefaultValues][14][FuelMaterialType]</v>
      </c>
    </row>
    <row r="433" spans="1:15" x14ac:dyDescent="0.3">
      <c r="A433" t="s">
        <v>2277</v>
      </c>
      <c r="B433" t="s">
        <v>1847</v>
      </c>
      <c r="C433" t="s">
        <v>1855</v>
      </c>
      <c r="D433">
        <v>15</v>
      </c>
      <c r="E433" t="s">
        <v>1447</v>
      </c>
      <c r="F433" t="s">
        <v>1857</v>
      </c>
      <c r="G433" t="s">
        <v>1741</v>
      </c>
      <c r="H433" t="s">
        <v>2326</v>
      </c>
      <c r="I433" t="s">
        <v>2279</v>
      </c>
      <c r="J433" t="s">
        <v>2279</v>
      </c>
      <c r="K433" t="s">
        <v>2279</v>
      </c>
      <c r="L433" t="s">
        <v>2279</v>
      </c>
      <c r="M433" t="s">
        <v>2279</v>
      </c>
      <c r="N433" t="s">
        <v>2279</v>
      </c>
      <c r="O433" s="190" t="str">
        <f>"["&amp;$C433&amp;"]["&amp;$D433&amp;"]["&amp;$F433&amp;"]"</f>
        <v>[S05_DefaultValues][15][FuelMaterialType]</v>
      </c>
    </row>
    <row r="434" spans="1:15" x14ac:dyDescent="0.3">
      <c r="A434" t="s">
        <v>2277</v>
      </c>
      <c r="B434" t="s">
        <v>1847</v>
      </c>
      <c r="C434" t="s">
        <v>1855</v>
      </c>
      <c r="D434">
        <v>16</v>
      </c>
      <c r="E434" t="s">
        <v>1447</v>
      </c>
      <c r="F434" t="s">
        <v>1857</v>
      </c>
      <c r="G434" t="s">
        <v>1741</v>
      </c>
      <c r="H434" t="s">
        <v>2327</v>
      </c>
      <c r="I434" t="s">
        <v>2279</v>
      </c>
      <c r="J434" t="s">
        <v>2279</v>
      </c>
      <c r="K434" t="s">
        <v>2279</v>
      </c>
      <c r="L434" t="s">
        <v>2279</v>
      </c>
      <c r="M434" t="s">
        <v>2279</v>
      </c>
      <c r="N434" t="s">
        <v>2279</v>
      </c>
      <c r="O434" s="190" t="str">
        <f>"["&amp;$C434&amp;"]["&amp;$D434&amp;"]["&amp;$F434&amp;"]"</f>
        <v>[S05_DefaultValues][16][FuelMaterialType]</v>
      </c>
    </row>
    <row r="435" spans="1:15" x14ac:dyDescent="0.3">
      <c r="A435" t="s">
        <v>2277</v>
      </c>
      <c r="B435" t="s">
        <v>1847</v>
      </c>
      <c r="C435" t="s">
        <v>1855</v>
      </c>
      <c r="D435">
        <v>17</v>
      </c>
      <c r="E435" t="s">
        <v>1447</v>
      </c>
      <c r="F435" t="s">
        <v>1857</v>
      </c>
      <c r="G435" t="s">
        <v>1741</v>
      </c>
      <c r="H435" t="s">
        <v>2326</v>
      </c>
      <c r="I435" t="s">
        <v>2279</v>
      </c>
      <c r="J435" t="s">
        <v>2279</v>
      </c>
      <c r="K435" t="s">
        <v>2279</v>
      </c>
      <c r="L435" t="s">
        <v>2279</v>
      </c>
      <c r="M435" t="s">
        <v>2279</v>
      </c>
      <c r="N435" t="s">
        <v>2279</v>
      </c>
      <c r="O435" s="190" t="str">
        <f>"["&amp;$C435&amp;"]["&amp;$D435&amp;"]["&amp;$F435&amp;"]"</f>
        <v>[S05_DefaultValues][17][FuelMaterialType]</v>
      </c>
    </row>
    <row r="436" spans="1:15" x14ac:dyDescent="0.3">
      <c r="A436" t="s">
        <v>2277</v>
      </c>
      <c r="B436" t="s">
        <v>1847</v>
      </c>
      <c r="C436" t="s">
        <v>1855</v>
      </c>
      <c r="D436">
        <v>18</v>
      </c>
      <c r="E436" t="s">
        <v>1447</v>
      </c>
      <c r="F436" t="s">
        <v>1857</v>
      </c>
      <c r="G436" t="s">
        <v>1741</v>
      </c>
      <c r="H436" t="s">
        <v>2328</v>
      </c>
      <c r="I436" t="s">
        <v>2279</v>
      </c>
      <c r="J436" t="s">
        <v>2279</v>
      </c>
      <c r="K436" t="s">
        <v>2279</v>
      </c>
      <c r="L436" t="s">
        <v>2279</v>
      </c>
      <c r="M436" t="s">
        <v>2279</v>
      </c>
      <c r="N436" t="s">
        <v>2279</v>
      </c>
      <c r="O436" s="190" t="str">
        <f>"["&amp;$C436&amp;"]["&amp;$D436&amp;"]["&amp;$F436&amp;"]"</f>
        <v>[S05_DefaultValues][18][FuelMaterialType]</v>
      </c>
    </row>
    <row r="437" spans="1:15" x14ac:dyDescent="0.3">
      <c r="A437" t="s">
        <v>2277</v>
      </c>
      <c r="B437" t="s">
        <v>1847</v>
      </c>
      <c r="C437" t="s">
        <v>1855</v>
      </c>
      <c r="D437">
        <v>19</v>
      </c>
      <c r="E437" t="s">
        <v>1447</v>
      </c>
      <c r="F437" t="s">
        <v>1857</v>
      </c>
      <c r="G437" t="s">
        <v>1741</v>
      </c>
      <c r="H437" t="s">
        <v>2328</v>
      </c>
      <c r="I437" t="s">
        <v>2279</v>
      </c>
      <c r="J437" t="s">
        <v>2279</v>
      </c>
      <c r="K437" t="s">
        <v>2279</v>
      </c>
      <c r="L437" t="s">
        <v>2279</v>
      </c>
      <c r="M437" t="s">
        <v>2279</v>
      </c>
      <c r="N437" t="s">
        <v>2279</v>
      </c>
      <c r="O437" s="190" t="str">
        <f>"["&amp;$C437&amp;"]["&amp;$D437&amp;"]["&amp;$F437&amp;"]"</f>
        <v>[S05_DefaultValues][19][FuelMaterialType]</v>
      </c>
    </row>
    <row r="438" spans="1:15" x14ac:dyDescent="0.3">
      <c r="A438" t="s">
        <v>2277</v>
      </c>
      <c r="B438" t="s">
        <v>1847</v>
      </c>
      <c r="C438" t="s">
        <v>1855</v>
      </c>
      <c r="D438">
        <v>20</v>
      </c>
      <c r="E438" t="s">
        <v>1447</v>
      </c>
      <c r="F438" t="s">
        <v>1857</v>
      </c>
      <c r="G438" t="s">
        <v>1741</v>
      </c>
      <c r="H438" t="s">
        <v>2329</v>
      </c>
      <c r="I438" t="s">
        <v>2279</v>
      </c>
      <c r="J438" t="s">
        <v>2279</v>
      </c>
      <c r="K438" t="s">
        <v>2279</v>
      </c>
      <c r="L438" t="s">
        <v>2279</v>
      </c>
      <c r="M438" t="s">
        <v>2279</v>
      </c>
      <c r="N438" t="s">
        <v>2279</v>
      </c>
      <c r="O438" s="190" t="str">
        <f>"["&amp;$C438&amp;"]["&amp;$D438&amp;"]["&amp;$F438&amp;"]"</f>
        <v>[S05_DefaultValues][20][FuelMaterialType]</v>
      </c>
    </row>
    <row r="439" spans="1:15" x14ac:dyDescent="0.3">
      <c r="A439" t="s">
        <v>2277</v>
      </c>
      <c r="B439" t="s">
        <v>1847</v>
      </c>
      <c r="C439" t="s">
        <v>1855</v>
      </c>
      <c r="D439">
        <v>21</v>
      </c>
      <c r="E439" t="s">
        <v>1447</v>
      </c>
      <c r="F439" t="s">
        <v>1857</v>
      </c>
      <c r="G439" t="s">
        <v>1741</v>
      </c>
      <c r="H439" t="s">
        <v>2329</v>
      </c>
      <c r="I439" t="s">
        <v>2279</v>
      </c>
      <c r="J439" t="s">
        <v>2279</v>
      </c>
      <c r="K439" t="s">
        <v>2279</v>
      </c>
      <c r="L439" t="s">
        <v>2279</v>
      </c>
      <c r="M439" t="s">
        <v>2279</v>
      </c>
      <c r="N439" t="s">
        <v>2279</v>
      </c>
      <c r="O439" s="190" t="str">
        <f>"["&amp;$C439&amp;"]["&amp;$D439&amp;"]["&amp;$F439&amp;"]"</f>
        <v>[S05_DefaultValues][21][FuelMaterialType]</v>
      </c>
    </row>
    <row r="440" spans="1:15" x14ac:dyDescent="0.3">
      <c r="A440" t="s">
        <v>2277</v>
      </c>
      <c r="B440" t="s">
        <v>1847</v>
      </c>
      <c r="C440" t="s">
        <v>1855</v>
      </c>
      <c r="D440">
        <v>22</v>
      </c>
      <c r="E440" t="s">
        <v>1447</v>
      </c>
      <c r="F440" t="s">
        <v>1857</v>
      </c>
      <c r="G440" t="s">
        <v>1741</v>
      </c>
      <c r="H440" t="s">
        <v>2330</v>
      </c>
      <c r="I440" t="s">
        <v>2279</v>
      </c>
      <c r="J440" t="s">
        <v>2279</v>
      </c>
      <c r="K440" t="s">
        <v>2279</v>
      </c>
      <c r="L440" t="s">
        <v>2279</v>
      </c>
      <c r="M440" t="s">
        <v>2279</v>
      </c>
      <c r="N440" t="s">
        <v>2279</v>
      </c>
      <c r="O440" s="190" t="str">
        <f>"["&amp;$C440&amp;"]["&amp;$D440&amp;"]["&amp;$F440&amp;"]"</f>
        <v>[S05_DefaultValues][22][FuelMaterialType]</v>
      </c>
    </row>
    <row r="441" spans="1:15" x14ac:dyDescent="0.3">
      <c r="A441" t="s">
        <v>2277</v>
      </c>
      <c r="B441" t="s">
        <v>1847</v>
      </c>
      <c r="C441" t="s">
        <v>1855</v>
      </c>
      <c r="D441">
        <v>23</v>
      </c>
      <c r="E441" t="s">
        <v>1447</v>
      </c>
      <c r="F441" t="s">
        <v>1857</v>
      </c>
      <c r="G441" t="s">
        <v>1741</v>
      </c>
      <c r="H441" t="s">
        <v>2330</v>
      </c>
      <c r="I441" t="s">
        <v>2279</v>
      </c>
      <c r="J441" t="s">
        <v>2279</v>
      </c>
      <c r="K441" t="s">
        <v>2279</v>
      </c>
      <c r="L441" t="s">
        <v>2279</v>
      </c>
      <c r="M441" t="s">
        <v>2279</v>
      </c>
      <c r="N441" t="s">
        <v>2279</v>
      </c>
      <c r="O441" s="190" t="str">
        <f>"["&amp;$C441&amp;"]["&amp;$D441&amp;"]["&amp;$F441&amp;"]"</f>
        <v>[S05_DefaultValues][23][FuelMaterialType]</v>
      </c>
    </row>
    <row r="442" spans="1:15" x14ac:dyDescent="0.3">
      <c r="A442" t="s">
        <v>2277</v>
      </c>
      <c r="B442" t="s">
        <v>1847</v>
      </c>
      <c r="C442" t="s">
        <v>1855</v>
      </c>
      <c r="D442">
        <v>24</v>
      </c>
      <c r="E442" t="s">
        <v>1447</v>
      </c>
      <c r="F442" t="s">
        <v>1857</v>
      </c>
      <c r="G442" t="s">
        <v>1741</v>
      </c>
      <c r="H442" t="s">
        <v>2331</v>
      </c>
      <c r="I442" t="s">
        <v>2279</v>
      </c>
      <c r="J442" t="s">
        <v>2279</v>
      </c>
      <c r="K442" t="s">
        <v>2279</v>
      </c>
      <c r="L442" t="s">
        <v>2279</v>
      </c>
      <c r="M442" t="s">
        <v>2279</v>
      </c>
      <c r="N442" t="s">
        <v>2279</v>
      </c>
      <c r="O442" s="190" t="str">
        <f>"["&amp;$C442&amp;"]["&amp;$D442&amp;"]["&amp;$F442&amp;"]"</f>
        <v>[S05_DefaultValues][24][FuelMaterialType]</v>
      </c>
    </row>
    <row r="443" spans="1:15" x14ac:dyDescent="0.3">
      <c r="A443" t="s">
        <v>2277</v>
      </c>
      <c r="B443" t="s">
        <v>1847</v>
      </c>
      <c r="C443" t="s">
        <v>1855</v>
      </c>
      <c r="D443">
        <v>25</v>
      </c>
      <c r="E443" t="s">
        <v>1447</v>
      </c>
      <c r="F443" t="s">
        <v>1857</v>
      </c>
      <c r="G443" t="s">
        <v>1741</v>
      </c>
      <c r="H443" t="s">
        <v>2331</v>
      </c>
      <c r="I443" t="s">
        <v>2279</v>
      </c>
      <c r="J443" t="s">
        <v>2279</v>
      </c>
      <c r="K443" t="s">
        <v>2279</v>
      </c>
      <c r="L443" t="s">
        <v>2279</v>
      </c>
      <c r="M443" t="s">
        <v>2279</v>
      </c>
      <c r="N443" t="s">
        <v>2279</v>
      </c>
      <c r="O443" s="190" t="str">
        <f>"["&amp;$C443&amp;"]["&amp;$D443&amp;"]["&amp;$F443&amp;"]"</f>
        <v>[S05_DefaultValues][25][FuelMaterialType]</v>
      </c>
    </row>
    <row r="444" spans="1:15" x14ac:dyDescent="0.3">
      <c r="A444" t="s">
        <v>2277</v>
      </c>
      <c r="B444" t="s">
        <v>1847</v>
      </c>
      <c r="C444" t="s">
        <v>1855</v>
      </c>
      <c r="D444">
        <v>26</v>
      </c>
      <c r="E444" t="s">
        <v>1447</v>
      </c>
      <c r="F444" t="s">
        <v>1857</v>
      </c>
      <c r="G444" t="s">
        <v>1741</v>
      </c>
      <c r="H444" t="s">
        <v>2332</v>
      </c>
      <c r="I444" t="s">
        <v>2279</v>
      </c>
      <c r="J444" t="s">
        <v>2279</v>
      </c>
      <c r="K444" t="s">
        <v>2279</v>
      </c>
      <c r="L444" t="s">
        <v>2279</v>
      </c>
      <c r="M444" t="s">
        <v>2279</v>
      </c>
      <c r="N444" t="s">
        <v>2279</v>
      </c>
      <c r="O444" s="190" t="str">
        <f>"["&amp;$C444&amp;"]["&amp;$D444&amp;"]["&amp;$F444&amp;"]"</f>
        <v>[S05_DefaultValues][26][FuelMaterialType]</v>
      </c>
    </row>
    <row r="445" spans="1:15" x14ac:dyDescent="0.3">
      <c r="A445" t="s">
        <v>2277</v>
      </c>
      <c r="B445" t="s">
        <v>1847</v>
      </c>
      <c r="C445" t="s">
        <v>1855</v>
      </c>
      <c r="D445">
        <v>27</v>
      </c>
      <c r="E445" t="s">
        <v>1447</v>
      </c>
      <c r="F445" t="s">
        <v>1857</v>
      </c>
      <c r="G445" t="s">
        <v>1741</v>
      </c>
      <c r="H445" t="s">
        <v>2333</v>
      </c>
      <c r="I445" t="s">
        <v>2279</v>
      </c>
      <c r="J445" t="s">
        <v>2279</v>
      </c>
      <c r="K445" t="s">
        <v>2279</v>
      </c>
      <c r="L445" t="s">
        <v>2279</v>
      </c>
      <c r="M445" t="s">
        <v>2279</v>
      </c>
      <c r="N445" t="s">
        <v>2279</v>
      </c>
      <c r="O445" s="190" t="str">
        <f>"["&amp;$C445&amp;"]["&amp;$D445&amp;"]["&amp;$F445&amp;"]"</f>
        <v>[S05_DefaultValues][27][FuelMaterialType]</v>
      </c>
    </row>
    <row r="446" spans="1:15" x14ac:dyDescent="0.3">
      <c r="A446" t="s">
        <v>2277</v>
      </c>
      <c r="B446" t="s">
        <v>1847</v>
      </c>
      <c r="C446" t="s">
        <v>1855</v>
      </c>
      <c r="D446">
        <v>28</v>
      </c>
      <c r="E446" t="s">
        <v>1447</v>
      </c>
      <c r="F446" t="s">
        <v>1857</v>
      </c>
      <c r="G446" t="s">
        <v>1741</v>
      </c>
      <c r="H446" t="s">
        <v>2333</v>
      </c>
      <c r="I446" t="s">
        <v>2279</v>
      </c>
      <c r="J446" t="s">
        <v>2279</v>
      </c>
      <c r="K446" t="s">
        <v>2279</v>
      </c>
      <c r="L446" t="s">
        <v>2279</v>
      </c>
      <c r="M446" t="s">
        <v>2279</v>
      </c>
      <c r="N446" t="s">
        <v>2279</v>
      </c>
      <c r="O446" s="190" t="str">
        <f>"["&amp;$C446&amp;"]["&amp;$D446&amp;"]["&amp;$F446&amp;"]"</f>
        <v>[S05_DefaultValues][28][FuelMaterialType]</v>
      </c>
    </row>
    <row r="447" spans="1:15" x14ac:dyDescent="0.3">
      <c r="A447" t="s">
        <v>2277</v>
      </c>
      <c r="B447" t="s">
        <v>1847</v>
      </c>
      <c r="C447" t="s">
        <v>1855</v>
      </c>
      <c r="D447">
        <v>29</v>
      </c>
      <c r="E447" t="s">
        <v>1447</v>
      </c>
      <c r="F447" t="s">
        <v>1857</v>
      </c>
      <c r="G447" t="s">
        <v>1741</v>
      </c>
      <c r="H447" t="s">
        <v>2334</v>
      </c>
      <c r="I447" t="s">
        <v>2279</v>
      </c>
      <c r="J447" t="s">
        <v>2279</v>
      </c>
      <c r="K447" t="s">
        <v>2279</v>
      </c>
      <c r="L447" t="s">
        <v>2279</v>
      </c>
      <c r="M447" t="s">
        <v>2279</v>
      </c>
      <c r="N447" t="s">
        <v>2279</v>
      </c>
      <c r="O447" s="190" t="str">
        <f>"["&amp;$C447&amp;"]["&amp;$D447&amp;"]["&amp;$F447&amp;"]"</f>
        <v>[S05_DefaultValues][29][FuelMaterialType]</v>
      </c>
    </row>
    <row r="448" spans="1:15" x14ac:dyDescent="0.3">
      <c r="A448" t="s">
        <v>2277</v>
      </c>
      <c r="B448" t="s">
        <v>1847</v>
      </c>
      <c r="C448" t="s">
        <v>1855</v>
      </c>
      <c r="D448">
        <v>30</v>
      </c>
      <c r="E448" t="s">
        <v>1447</v>
      </c>
      <c r="F448" t="s">
        <v>1857</v>
      </c>
      <c r="G448" t="s">
        <v>1741</v>
      </c>
      <c r="H448" t="s">
        <v>2335</v>
      </c>
      <c r="I448" t="s">
        <v>2279</v>
      </c>
      <c r="J448" t="s">
        <v>2279</v>
      </c>
      <c r="K448" t="s">
        <v>2279</v>
      </c>
      <c r="L448" t="s">
        <v>2279</v>
      </c>
      <c r="M448" t="s">
        <v>2279</v>
      </c>
      <c r="N448" t="s">
        <v>2279</v>
      </c>
      <c r="O448" s="190" t="str">
        <f>"["&amp;$C448&amp;"]["&amp;$D448&amp;"]["&amp;$F448&amp;"]"</f>
        <v>[S05_DefaultValues][30][FuelMaterialType]</v>
      </c>
    </row>
    <row r="449" spans="1:15" x14ac:dyDescent="0.3">
      <c r="A449" t="s">
        <v>2277</v>
      </c>
      <c r="B449" t="s">
        <v>1847</v>
      </c>
      <c r="C449" t="s">
        <v>1855</v>
      </c>
      <c r="D449">
        <v>31</v>
      </c>
      <c r="E449" t="s">
        <v>1447</v>
      </c>
      <c r="F449" t="s">
        <v>1857</v>
      </c>
      <c r="G449" t="s">
        <v>1741</v>
      </c>
      <c r="H449" t="s">
        <v>2336</v>
      </c>
      <c r="I449" t="s">
        <v>2279</v>
      </c>
      <c r="J449" t="s">
        <v>2279</v>
      </c>
      <c r="K449" t="s">
        <v>2279</v>
      </c>
      <c r="L449" t="s">
        <v>2279</v>
      </c>
      <c r="M449" t="s">
        <v>2279</v>
      </c>
      <c r="N449" t="s">
        <v>2279</v>
      </c>
      <c r="O449" s="190" t="str">
        <f>"["&amp;$C449&amp;"]["&amp;$D449&amp;"]["&amp;$F449&amp;"]"</f>
        <v>[S05_DefaultValues][31][FuelMaterialType]</v>
      </c>
    </row>
    <row r="450" spans="1:15" x14ac:dyDescent="0.3">
      <c r="A450" t="s">
        <v>2277</v>
      </c>
      <c r="B450" t="s">
        <v>1847</v>
      </c>
      <c r="C450" t="s">
        <v>1855</v>
      </c>
      <c r="D450">
        <v>32</v>
      </c>
      <c r="E450" t="s">
        <v>1447</v>
      </c>
      <c r="F450" t="s">
        <v>1857</v>
      </c>
      <c r="G450" t="s">
        <v>1741</v>
      </c>
      <c r="H450" t="s">
        <v>2336</v>
      </c>
      <c r="I450" t="s">
        <v>2279</v>
      </c>
      <c r="J450" t="s">
        <v>2279</v>
      </c>
      <c r="K450" t="s">
        <v>2279</v>
      </c>
      <c r="L450" t="s">
        <v>2279</v>
      </c>
      <c r="M450" t="s">
        <v>2279</v>
      </c>
      <c r="N450" t="s">
        <v>2279</v>
      </c>
      <c r="O450" s="190" t="str">
        <f>"["&amp;$C450&amp;"]["&amp;$D450&amp;"]["&amp;$F450&amp;"]"</f>
        <v>[S05_DefaultValues][32][FuelMaterialType]</v>
      </c>
    </row>
    <row r="451" spans="1:15" x14ac:dyDescent="0.3">
      <c r="A451" t="s">
        <v>2277</v>
      </c>
      <c r="B451" t="s">
        <v>1847</v>
      </c>
      <c r="C451" t="s">
        <v>1855</v>
      </c>
      <c r="D451">
        <v>33</v>
      </c>
      <c r="E451" t="s">
        <v>1447</v>
      </c>
      <c r="F451" t="s">
        <v>1857</v>
      </c>
      <c r="G451" t="s">
        <v>1741</v>
      </c>
      <c r="H451" t="s">
        <v>2337</v>
      </c>
      <c r="I451" t="s">
        <v>2279</v>
      </c>
      <c r="J451" t="s">
        <v>2279</v>
      </c>
      <c r="K451" t="s">
        <v>2279</v>
      </c>
      <c r="L451" t="s">
        <v>2279</v>
      </c>
      <c r="M451" t="s">
        <v>2279</v>
      </c>
      <c r="N451" t="s">
        <v>2279</v>
      </c>
      <c r="O451" s="190" t="str">
        <f>"["&amp;$C451&amp;"]["&amp;$D451&amp;"]["&amp;$F451&amp;"]"</f>
        <v>[S05_DefaultValues][33][FuelMaterialType]</v>
      </c>
    </row>
    <row r="452" spans="1:15" x14ac:dyDescent="0.3">
      <c r="A452" t="s">
        <v>2277</v>
      </c>
      <c r="B452" t="s">
        <v>1847</v>
      </c>
      <c r="C452" t="s">
        <v>1855</v>
      </c>
      <c r="D452">
        <v>34</v>
      </c>
      <c r="E452" t="s">
        <v>1447</v>
      </c>
      <c r="F452" t="s">
        <v>1857</v>
      </c>
      <c r="G452" t="s">
        <v>1741</v>
      </c>
      <c r="H452" t="s">
        <v>2337</v>
      </c>
      <c r="I452" t="s">
        <v>2279</v>
      </c>
      <c r="J452" t="s">
        <v>2279</v>
      </c>
      <c r="K452" t="s">
        <v>2279</v>
      </c>
      <c r="L452" t="s">
        <v>2279</v>
      </c>
      <c r="M452" t="s">
        <v>2279</v>
      </c>
      <c r="N452" t="s">
        <v>2279</v>
      </c>
      <c r="O452" s="190" t="str">
        <f>"["&amp;$C452&amp;"]["&amp;$D452&amp;"]["&amp;$F452&amp;"]"</f>
        <v>[S05_DefaultValues][34][FuelMaterialType]</v>
      </c>
    </row>
    <row r="453" spans="1:15" x14ac:dyDescent="0.3">
      <c r="A453" t="s">
        <v>2277</v>
      </c>
      <c r="B453" t="s">
        <v>1847</v>
      </c>
      <c r="C453" t="s">
        <v>1855</v>
      </c>
      <c r="D453">
        <v>35</v>
      </c>
      <c r="E453" t="s">
        <v>1447</v>
      </c>
      <c r="F453" t="s">
        <v>1857</v>
      </c>
      <c r="G453" t="s">
        <v>1741</v>
      </c>
      <c r="H453" t="s">
        <v>2337</v>
      </c>
      <c r="I453" t="s">
        <v>2279</v>
      </c>
      <c r="J453" t="s">
        <v>2279</v>
      </c>
      <c r="K453" t="s">
        <v>2279</v>
      </c>
      <c r="L453" t="s">
        <v>2279</v>
      </c>
      <c r="M453" t="s">
        <v>2279</v>
      </c>
      <c r="N453" t="s">
        <v>2279</v>
      </c>
      <c r="O453" s="190" t="str">
        <f>"["&amp;$C453&amp;"]["&amp;$D453&amp;"]["&amp;$F453&amp;"]"</f>
        <v>[S05_DefaultValues][35][FuelMaterialType]</v>
      </c>
    </row>
    <row r="454" spans="1:15" x14ac:dyDescent="0.3">
      <c r="A454" t="s">
        <v>2277</v>
      </c>
      <c r="B454" t="s">
        <v>1847</v>
      </c>
      <c r="C454" t="s">
        <v>1855</v>
      </c>
      <c r="D454">
        <v>36</v>
      </c>
      <c r="E454" t="s">
        <v>1447</v>
      </c>
      <c r="F454" t="s">
        <v>1857</v>
      </c>
      <c r="G454" t="s">
        <v>1741</v>
      </c>
      <c r="H454" t="s">
        <v>2337</v>
      </c>
      <c r="I454" t="s">
        <v>2279</v>
      </c>
      <c r="J454" t="s">
        <v>2279</v>
      </c>
      <c r="K454" t="s">
        <v>2279</v>
      </c>
      <c r="L454" t="s">
        <v>2279</v>
      </c>
      <c r="M454" t="s">
        <v>2279</v>
      </c>
      <c r="N454" t="s">
        <v>2279</v>
      </c>
      <c r="O454" s="190" t="str">
        <f>"["&amp;$C454&amp;"]["&amp;$D454&amp;"]["&amp;$F454&amp;"]"</f>
        <v>[S05_DefaultValues][36][FuelMaterialType]</v>
      </c>
    </row>
    <row r="455" spans="1:15" x14ac:dyDescent="0.3">
      <c r="A455" t="s">
        <v>2277</v>
      </c>
      <c r="B455" t="s">
        <v>1847</v>
      </c>
      <c r="C455" t="s">
        <v>1855</v>
      </c>
      <c r="D455">
        <v>37</v>
      </c>
      <c r="E455" t="s">
        <v>1447</v>
      </c>
      <c r="F455" t="s">
        <v>1857</v>
      </c>
      <c r="G455" t="s">
        <v>1741</v>
      </c>
      <c r="H455" t="s">
        <v>2338</v>
      </c>
      <c r="I455" t="s">
        <v>2279</v>
      </c>
      <c r="J455" t="s">
        <v>2279</v>
      </c>
      <c r="K455" t="s">
        <v>2279</v>
      </c>
      <c r="L455" t="s">
        <v>2279</v>
      </c>
      <c r="M455" t="s">
        <v>2279</v>
      </c>
      <c r="N455" t="s">
        <v>2279</v>
      </c>
      <c r="O455" s="190" t="str">
        <f>"["&amp;$C455&amp;"]["&amp;$D455&amp;"]["&amp;$F455&amp;"]"</f>
        <v>[S05_DefaultValues][37][FuelMaterialType]</v>
      </c>
    </row>
    <row r="456" spans="1:15" x14ac:dyDescent="0.3">
      <c r="A456" t="s">
        <v>2277</v>
      </c>
      <c r="B456" t="s">
        <v>1847</v>
      </c>
      <c r="C456" t="s">
        <v>1855</v>
      </c>
      <c r="D456">
        <v>38</v>
      </c>
      <c r="E456" t="s">
        <v>1447</v>
      </c>
      <c r="F456" t="s">
        <v>1857</v>
      </c>
      <c r="G456" t="s">
        <v>1741</v>
      </c>
      <c r="H456" t="s">
        <v>2338</v>
      </c>
      <c r="I456" t="s">
        <v>2279</v>
      </c>
      <c r="J456" t="s">
        <v>2279</v>
      </c>
      <c r="K456" t="s">
        <v>2279</v>
      </c>
      <c r="L456" t="s">
        <v>2279</v>
      </c>
      <c r="M456" t="s">
        <v>2279</v>
      </c>
      <c r="N456" t="s">
        <v>2279</v>
      </c>
      <c r="O456" s="190" t="str">
        <f>"["&amp;$C456&amp;"]["&amp;$D456&amp;"]["&amp;$F456&amp;"]"</f>
        <v>[S05_DefaultValues][38][FuelMaterialType]</v>
      </c>
    </row>
    <row r="457" spans="1:15" x14ac:dyDescent="0.3">
      <c r="A457" t="s">
        <v>2277</v>
      </c>
      <c r="B457" t="s">
        <v>1847</v>
      </c>
      <c r="C457" t="s">
        <v>1855</v>
      </c>
      <c r="D457">
        <v>39</v>
      </c>
      <c r="E457" t="s">
        <v>1447</v>
      </c>
      <c r="F457" t="s">
        <v>1857</v>
      </c>
      <c r="G457" t="s">
        <v>1741</v>
      </c>
      <c r="H457" t="s">
        <v>2338</v>
      </c>
      <c r="I457" t="s">
        <v>2279</v>
      </c>
      <c r="J457" t="s">
        <v>2279</v>
      </c>
      <c r="K457" t="s">
        <v>2279</v>
      </c>
      <c r="L457" t="s">
        <v>2279</v>
      </c>
      <c r="M457" t="s">
        <v>2279</v>
      </c>
      <c r="N457" t="s">
        <v>2279</v>
      </c>
      <c r="O457" s="190" t="str">
        <f>"["&amp;$C457&amp;"]["&amp;$D457&amp;"]["&amp;$F457&amp;"]"</f>
        <v>[S05_DefaultValues][39][FuelMaterialType]</v>
      </c>
    </row>
    <row r="458" spans="1:15" x14ac:dyDescent="0.3">
      <c r="A458" t="s">
        <v>2277</v>
      </c>
      <c r="B458" t="s">
        <v>1847</v>
      </c>
      <c r="C458" t="s">
        <v>1855</v>
      </c>
      <c r="D458">
        <v>40</v>
      </c>
      <c r="E458" t="s">
        <v>1447</v>
      </c>
      <c r="F458" t="s">
        <v>1857</v>
      </c>
      <c r="G458" t="s">
        <v>1741</v>
      </c>
      <c r="H458" t="s">
        <v>2339</v>
      </c>
      <c r="I458" t="s">
        <v>2279</v>
      </c>
      <c r="J458" t="s">
        <v>2279</v>
      </c>
      <c r="K458" t="s">
        <v>2279</v>
      </c>
      <c r="L458" t="s">
        <v>2279</v>
      </c>
      <c r="M458" t="s">
        <v>2279</v>
      </c>
      <c r="N458" t="s">
        <v>2279</v>
      </c>
      <c r="O458" s="190" t="str">
        <f>"["&amp;$C458&amp;"]["&amp;$D458&amp;"]["&amp;$F458&amp;"]"</f>
        <v>[S05_DefaultValues][40][FuelMaterialType]</v>
      </c>
    </row>
    <row r="459" spans="1:15" x14ac:dyDescent="0.3">
      <c r="A459" t="s">
        <v>2277</v>
      </c>
      <c r="B459" t="s">
        <v>1847</v>
      </c>
      <c r="C459" t="s">
        <v>1855</v>
      </c>
      <c r="D459">
        <v>41</v>
      </c>
      <c r="E459" t="s">
        <v>1447</v>
      </c>
      <c r="F459" t="s">
        <v>1857</v>
      </c>
      <c r="G459" t="s">
        <v>1741</v>
      </c>
      <c r="H459" t="s">
        <v>2339</v>
      </c>
      <c r="I459" t="s">
        <v>2279</v>
      </c>
      <c r="J459" t="s">
        <v>2279</v>
      </c>
      <c r="K459" t="s">
        <v>2279</v>
      </c>
      <c r="L459" t="s">
        <v>2279</v>
      </c>
      <c r="M459" t="s">
        <v>2279</v>
      </c>
      <c r="N459" t="s">
        <v>2279</v>
      </c>
      <c r="O459" s="190" t="str">
        <f>"["&amp;$C459&amp;"]["&amp;$D459&amp;"]["&amp;$F459&amp;"]"</f>
        <v>[S05_DefaultValues][41][FuelMaterialType]</v>
      </c>
    </row>
    <row r="460" spans="1:15" x14ac:dyDescent="0.3">
      <c r="A460" t="s">
        <v>2277</v>
      </c>
      <c r="B460" t="s">
        <v>1847</v>
      </c>
      <c r="C460" t="s">
        <v>1855</v>
      </c>
      <c r="D460">
        <v>42</v>
      </c>
      <c r="E460" t="s">
        <v>1447</v>
      </c>
      <c r="F460" t="s">
        <v>1857</v>
      </c>
      <c r="G460" t="s">
        <v>1741</v>
      </c>
      <c r="H460" t="s">
        <v>2340</v>
      </c>
      <c r="I460" t="s">
        <v>2279</v>
      </c>
      <c r="J460" t="s">
        <v>2279</v>
      </c>
      <c r="K460" t="s">
        <v>2279</v>
      </c>
      <c r="L460" t="s">
        <v>2279</v>
      </c>
      <c r="M460" t="s">
        <v>2279</v>
      </c>
      <c r="N460" t="s">
        <v>2279</v>
      </c>
      <c r="O460" s="190" t="str">
        <f>"["&amp;$C460&amp;"]["&amp;$D460&amp;"]["&amp;$F460&amp;"]"</f>
        <v>[S05_DefaultValues][42][FuelMaterialType]</v>
      </c>
    </row>
    <row r="461" spans="1:15" x14ac:dyDescent="0.3">
      <c r="A461" t="s">
        <v>2277</v>
      </c>
      <c r="B461" t="s">
        <v>1847</v>
      </c>
      <c r="C461" t="s">
        <v>1855</v>
      </c>
      <c r="D461">
        <v>43</v>
      </c>
      <c r="E461" t="s">
        <v>1447</v>
      </c>
      <c r="F461" t="s">
        <v>1857</v>
      </c>
      <c r="G461" t="s">
        <v>1741</v>
      </c>
      <c r="H461" t="s">
        <v>2341</v>
      </c>
      <c r="I461" t="s">
        <v>2279</v>
      </c>
      <c r="J461" t="s">
        <v>2279</v>
      </c>
      <c r="K461" t="s">
        <v>2279</v>
      </c>
      <c r="L461" t="s">
        <v>2279</v>
      </c>
      <c r="M461" t="s">
        <v>2279</v>
      </c>
      <c r="N461" t="s">
        <v>2279</v>
      </c>
      <c r="O461" s="190" t="str">
        <f>"["&amp;$C461&amp;"]["&amp;$D461&amp;"]["&amp;$F461&amp;"]"</f>
        <v>[S05_DefaultValues][43][FuelMaterialType]</v>
      </c>
    </row>
    <row r="462" spans="1:15" x14ac:dyDescent="0.3">
      <c r="A462" t="s">
        <v>2277</v>
      </c>
      <c r="B462" t="s">
        <v>1847</v>
      </c>
      <c r="C462" t="s">
        <v>1855</v>
      </c>
      <c r="D462">
        <v>44</v>
      </c>
      <c r="E462" t="s">
        <v>1447</v>
      </c>
      <c r="F462" t="s">
        <v>1857</v>
      </c>
      <c r="G462" t="s">
        <v>1741</v>
      </c>
      <c r="H462" t="s">
        <v>2342</v>
      </c>
      <c r="I462" t="s">
        <v>2279</v>
      </c>
      <c r="J462" t="s">
        <v>2279</v>
      </c>
      <c r="K462" t="s">
        <v>2279</v>
      </c>
      <c r="L462" t="s">
        <v>2279</v>
      </c>
      <c r="M462" t="s">
        <v>2279</v>
      </c>
      <c r="N462" t="s">
        <v>2279</v>
      </c>
      <c r="O462" s="190" t="str">
        <f>"["&amp;$C462&amp;"]["&amp;$D462&amp;"]["&amp;$F462&amp;"]"</f>
        <v>[S05_DefaultValues][44][FuelMaterialType]</v>
      </c>
    </row>
    <row r="463" spans="1:15" x14ac:dyDescent="0.3">
      <c r="A463" t="s">
        <v>2277</v>
      </c>
      <c r="B463" t="s">
        <v>1847</v>
      </c>
      <c r="C463" t="s">
        <v>1855</v>
      </c>
      <c r="D463">
        <v>45</v>
      </c>
      <c r="E463" t="s">
        <v>1447</v>
      </c>
      <c r="F463" t="s">
        <v>1857</v>
      </c>
      <c r="G463" t="s">
        <v>1741</v>
      </c>
      <c r="H463" t="s">
        <v>2342</v>
      </c>
      <c r="I463" t="s">
        <v>2279</v>
      </c>
      <c r="J463" t="s">
        <v>2279</v>
      </c>
      <c r="K463" t="s">
        <v>2279</v>
      </c>
      <c r="L463" t="s">
        <v>2279</v>
      </c>
      <c r="M463" t="s">
        <v>2279</v>
      </c>
      <c r="N463" t="s">
        <v>2279</v>
      </c>
      <c r="O463" s="190" t="str">
        <f>"["&amp;$C463&amp;"]["&amp;$D463&amp;"]["&amp;$F463&amp;"]"</f>
        <v>[S05_DefaultValues][45][FuelMaterialType]</v>
      </c>
    </row>
    <row r="464" spans="1:15" x14ac:dyDescent="0.3">
      <c r="A464" t="s">
        <v>2277</v>
      </c>
      <c r="B464" t="s">
        <v>1847</v>
      </c>
      <c r="C464" t="s">
        <v>1855</v>
      </c>
      <c r="D464">
        <v>1</v>
      </c>
      <c r="E464" t="s">
        <v>1447</v>
      </c>
      <c r="F464" t="s">
        <v>1858</v>
      </c>
      <c r="G464" t="s">
        <v>1748</v>
      </c>
      <c r="H464" t="s">
        <v>2279</v>
      </c>
      <c r="I464">
        <v>12</v>
      </c>
      <c r="J464" t="s">
        <v>2279</v>
      </c>
      <c r="K464" t="s">
        <v>2279</v>
      </c>
      <c r="L464" t="s">
        <v>2279</v>
      </c>
      <c r="M464" t="s">
        <v>2279</v>
      </c>
      <c r="N464" t="s">
        <v>2279</v>
      </c>
      <c r="O464" s="190" t="str">
        <f>"["&amp;$C464&amp;"]["&amp;$D464&amp;"]["&amp;$F464&amp;"]"</f>
        <v>[S05_DefaultValues][1][InstallationNumber]</v>
      </c>
    </row>
    <row r="465" spans="1:15" x14ac:dyDescent="0.3">
      <c r="A465" t="s">
        <v>2277</v>
      </c>
      <c r="B465" t="s">
        <v>1847</v>
      </c>
      <c r="C465" t="s">
        <v>1855</v>
      </c>
      <c r="D465">
        <v>2</v>
      </c>
      <c r="E465" t="s">
        <v>1447</v>
      </c>
      <c r="F465" t="s">
        <v>1858</v>
      </c>
      <c r="G465" t="s">
        <v>1748</v>
      </c>
      <c r="H465" t="s">
        <v>2279</v>
      </c>
      <c r="I465">
        <v>3</v>
      </c>
      <c r="J465" t="s">
        <v>2279</v>
      </c>
      <c r="K465" t="s">
        <v>2279</v>
      </c>
      <c r="L465" t="s">
        <v>2279</v>
      </c>
      <c r="M465" t="s">
        <v>2279</v>
      </c>
      <c r="N465" t="s">
        <v>2279</v>
      </c>
      <c r="O465" s="190" t="str">
        <f>"["&amp;$C465&amp;"]["&amp;$D465&amp;"]["&amp;$F465&amp;"]"</f>
        <v>[S05_DefaultValues][2][InstallationNumber]</v>
      </c>
    </row>
    <row r="466" spans="1:15" x14ac:dyDescent="0.3">
      <c r="A466" t="s">
        <v>2277</v>
      </c>
      <c r="B466" t="s">
        <v>1847</v>
      </c>
      <c r="C466" t="s">
        <v>1855</v>
      </c>
      <c r="D466">
        <v>3</v>
      </c>
      <c r="E466" t="s">
        <v>1447</v>
      </c>
      <c r="F466" t="s">
        <v>1858</v>
      </c>
      <c r="G466" t="s">
        <v>1748</v>
      </c>
      <c r="H466" t="s">
        <v>2279</v>
      </c>
      <c r="I466">
        <v>2</v>
      </c>
      <c r="J466" t="s">
        <v>2279</v>
      </c>
      <c r="K466" t="s">
        <v>2279</v>
      </c>
      <c r="L466" t="s">
        <v>2279</v>
      </c>
      <c r="M466" t="s">
        <v>2279</v>
      </c>
      <c r="N466" t="s">
        <v>2279</v>
      </c>
      <c r="O466" s="190" t="str">
        <f>"["&amp;$C466&amp;"]["&amp;$D466&amp;"]["&amp;$F466&amp;"]"</f>
        <v>[S05_DefaultValues][3][InstallationNumber]</v>
      </c>
    </row>
    <row r="467" spans="1:15" x14ac:dyDescent="0.3">
      <c r="A467" t="s">
        <v>2277</v>
      </c>
      <c r="B467" t="s">
        <v>1847</v>
      </c>
      <c r="C467" t="s">
        <v>1855</v>
      </c>
      <c r="D467">
        <v>4</v>
      </c>
      <c r="E467" t="s">
        <v>1447</v>
      </c>
      <c r="F467" t="s">
        <v>1858</v>
      </c>
      <c r="G467" t="s">
        <v>1748</v>
      </c>
      <c r="H467" t="s">
        <v>2279</v>
      </c>
      <c r="I467">
        <v>1</v>
      </c>
      <c r="J467" t="s">
        <v>2279</v>
      </c>
      <c r="K467" t="s">
        <v>2279</v>
      </c>
      <c r="L467" t="s">
        <v>2279</v>
      </c>
      <c r="M467" t="s">
        <v>2279</v>
      </c>
      <c r="N467" t="s">
        <v>2279</v>
      </c>
      <c r="O467" s="190" t="str">
        <f>"["&amp;$C467&amp;"]["&amp;$D467&amp;"]["&amp;$F467&amp;"]"</f>
        <v>[S05_DefaultValues][4][InstallationNumber]</v>
      </c>
    </row>
    <row r="468" spans="1:15" x14ac:dyDescent="0.3">
      <c r="A468" t="s">
        <v>2277</v>
      </c>
      <c r="B468" t="s">
        <v>1847</v>
      </c>
      <c r="C468" t="s">
        <v>1855</v>
      </c>
      <c r="D468">
        <v>5</v>
      </c>
      <c r="E468" t="s">
        <v>1447</v>
      </c>
      <c r="F468" t="s">
        <v>1858</v>
      </c>
      <c r="G468" t="s">
        <v>1748</v>
      </c>
      <c r="H468" t="s">
        <v>2279</v>
      </c>
      <c r="I468">
        <v>1</v>
      </c>
      <c r="J468" t="s">
        <v>2279</v>
      </c>
      <c r="K468" t="s">
        <v>2279</v>
      </c>
      <c r="L468" t="s">
        <v>2279</v>
      </c>
      <c r="M468" t="s">
        <v>2279</v>
      </c>
      <c r="N468" t="s">
        <v>2279</v>
      </c>
      <c r="O468" s="190" t="str">
        <f>"["&amp;$C468&amp;"]["&amp;$D468&amp;"]["&amp;$F468&amp;"]"</f>
        <v>[S05_DefaultValues][5][InstallationNumber]</v>
      </c>
    </row>
    <row r="469" spans="1:15" x14ac:dyDescent="0.3">
      <c r="A469" t="s">
        <v>2277</v>
      </c>
      <c r="B469" t="s">
        <v>1847</v>
      </c>
      <c r="C469" t="s">
        <v>1855</v>
      </c>
      <c r="D469">
        <v>6</v>
      </c>
      <c r="E469" t="s">
        <v>1447</v>
      </c>
      <c r="F469" t="s">
        <v>1858</v>
      </c>
      <c r="G469" t="s">
        <v>1748</v>
      </c>
      <c r="H469" t="s">
        <v>2279</v>
      </c>
      <c r="I469">
        <v>1</v>
      </c>
      <c r="J469" t="s">
        <v>2279</v>
      </c>
      <c r="K469" t="s">
        <v>2279</v>
      </c>
      <c r="L469" t="s">
        <v>2279</v>
      </c>
      <c r="M469" t="s">
        <v>2279</v>
      </c>
      <c r="N469" t="s">
        <v>2279</v>
      </c>
      <c r="O469" s="190" t="str">
        <f>"["&amp;$C469&amp;"]["&amp;$D469&amp;"]["&amp;$F469&amp;"]"</f>
        <v>[S05_DefaultValues][6][InstallationNumber]</v>
      </c>
    </row>
    <row r="470" spans="1:15" x14ac:dyDescent="0.3">
      <c r="A470" t="s">
        <v>2277</v>
      </c>
      <c r="B470" t="s">
        <v>1847</v>
      </c>
      <c r="C470" t="s">
        <v>1855</v>
      </c>
      <c r="D470">
        <v>7</v>
      </c>
      <c r="E470" t="s">
        <v>1447</v>
      </c>
      <c r="F470" t="s">
        <v>1858</v>
      </c>
      <c r="G470" t="s">
        <v>1748</v>
      </c>
      <c r="H470" t="s">
        <v>2279</v>
      </c>
      <c r="I470">
        <v>1</v>
      </c>
      <c r="J470" t="s">
        <v>2279</v>
      </c>
      <c r="K470" t="s">
        <v>2279</v>
      </c>
      <c r="L470" t="s">
        <v>2279</v>
      </c>
      <c r="M470" t="s">
        <v>2279</v>
      </c>
      <c r="N470" t="s">
        <v>2279</v>
      </c>
      <c r="O470" s="190" t="str">
        <f>"["&amp;$C470&amp;"]["&amp;$D470&amp;"]["&amp;$F470&amp;"]"</f>
        <v>[S05_DefaultValues][7][InstallationNumber]</v>
      </c>
    </row>
    <row r="471" spans="1:15" x14ac:dyDescent="0.3">
      <c r="A471" t="s">
        <v>2277</v>
      </c>
      <c r="B471" t="s">
        <v>1847</v>
      </c>
      <c r="C471" t="s">
        <v>1855</v>
      </c>
      <c r="D471">
        <v>8</v>
      </c>
      <c r="E471" t="s">
        <v>1447</v>
      </c>
      <c r="F471" t="s">
        <v>1858</v>
      </c>
      <c r="G471" t="s">
        <v>1748</v>
      </c>
      <c r="H471" t="s">
        <v>2279</v>
      </c>
      <c r="I471">
        <v>1</v>
      </c>
      <c r="J471" t="s">
        <v>2279</v>
      </c>
      <c r="K471" t="s">
        <v>2279</v>
      </c>
      <c r="L471" t="s">
        <v>2279</v>
      </c>
      <c r="M471" t="s">
        <v>2279</v>
      </c>
      <c r="N471" t="s">
        <v>2279</v>
      </c>
      <c r="O471" s="190" t="str">
        <f>"["&amp;$C471&amp;"]["&amp;$D471&amp;"]["&amp;$F471&amp;"]"</f>
        <v>[S05_DefaultValues][8][InstallationNumber]</v>
      </c>
    </row>
    <row r="472" spans="1:15" x14ac:dyDescent="0.3">
      <c r="A472" t="s">
        <v>2277</v>
      </c>
      <c r="B472" t="s">
        <v>1847</v>
      </c>
      <c r="C472" t="s">
        <v>1855</v>
      </c>
      <c r="D472">
        <v>9</v>
      </c>
      <c r="E472" t="s">
        <v>1447</v>
      </c>
      <c r="F472" t="s">
        <v>1858</v>
      </c>
      <c r="G472" t="s">
        <v>1748</v>
      </c>
      <c r="H472" t="s">
        <v>2279</v>
      </c>
      <c r="I472">
        <v>2</v>
      </c>
      <c r="J472" t="s">
        <v>2279</v>
      </c>
      <c r="K472" t="s">
        <v>2279</v>
      </c>
      <c r="L472" t="s">
        <v>2279</v>
      </c>
      <c r="M472" t="s">
        <v>2279</v>
      </c>
      <c r="N472" t="s">
        <v>2279</v>
      </c>
      <c r="O472" s="190" t="str">
        <f>"["&amp;$C472&amp;"]["&amp;$D472&amp;"]["&amp;$F472&amp;"]"</f>
        <v>[S05_DefaultValues][9][InstallationNumber]</v>
      </c>
    </row>
    <row r="473" spans="1:15" x14ac:dyDescent="0.3">
      <c r="A473" t="s">
        <v>2277</v>
      </c>
      <c r="B473" t="s">
        <v>1847</v>
      </c>
      <c r="C473" t="s">
        <v>1855</v>
      </c>
      <c r="D473">
        <v>10</v>
      </c>
      <c r="E473" t="s">
        <v>1447</v>
      </c>
      <c r="F473" t="s">
        <v>1858</v>
      </c>
      <c r="G473" t="s">
        <v>1748</v>
      </c>
      <c r="H473" t="s">
        <v>2279</v>
      </c>
      <c r="I473">
        <v>2</v>
      </c>
      <c r="J473" t="s">
        <v>2279</v>
      </c>
      <c r="K473" t="s">
        <v>2279</v>
      </c>
      <c r="L473" t="s">
        <v>2279</v>
      </c>
      <c r="M473" t="s">
        <v>2279</v>
      </c>
      <c r="N473" t="s">
        <v>2279</v>
      </c>
      <c r="O473" s="190" t="str">
        <f>"["&amp;$C473&amp;"]["&amp;$D473&amp;"]["&amp;$F473&amp;"]"</f>
        <v>[S05_DefaultValues][10][InstallationNumber]</v>
      </c>
    </row>
    <row r="474" spans="1:15" x14ac:dyDescent="0.3">
      <c r="A474" t="s">
        <v>2277</v>
      </c>
      <c r="B474" t="s">
        <v>1847</v>
      </c>
      <c r="C474" t="s">
        <v>1855</v>
      </c>
      <c r="D474">
        <v>11</v>
      </c>
      <c r="E474" t="s">
        <v>1447</v>
      </c>
      <c r="F474" t="s">
        <v>1858</v>
      </c>
      <c r="G474" t="s">
        <v>1748</v>
      </c>
      <c r="H474" t="s">
        <v>2279</v>
      </c>
      <c r="I474">
        <v>2</v>
      </c>
      <c r="J474" t="s">
        <v>2279</v>
      </c>
      <c r="K474" t="s">
        <v>2279</v>
      </c>
      <c r="L474" t="s">
        <v>2279</v>
      </c>
      <c r="M474" t="s">
        <v>2279</v>
      </c>
      <c r="N474" t="s">
        <v>2279</v>
      </c>
      <c r="O474" s="190" t="str">
        <f>"["&amp;$C474&amp;"]["&amp;$D474&amp;"]["&amp;$F474&amp;"]"</f>
        <v>[S05_DefaultValues][11][InstallationNumber]</v>
      </c>
    </row>
    <row r="475" spans="1:15" x14ac:dyDescent="0.3">
      <c r="A475" t="s">
        <v>2277</v>
      </c>
      <c r="B475" t="s">
        <v>1847</v>
      </c>
      <c r="C475" t="s">
        <v>1855</v>
      </c>
      <c r="D475">
        <v>12</v>
      </c>
      <c r="E475" t="s">
        <v>1447</v>
      </c>
      <c r="F475" t="s">
        <v>1858</v>
      </c>
      <c r="G475" t="s">
        <v>1748</v>
      </c>
      <c r="H475" t="s">
        <v>2279</v>
      </c>
      <c r="I475">
        <v>34</v>
      </c>
      <c r="J475" t="s">
        <v>2279</v>
      </c>
      <c r="K475" t="s">
        <v>2279</v>
      </c>
      <c r="L475" t="s">
        <v>2279</v>
      </c>
      <c r="M475" t="s">
        <v>2279</v>
      </c>
      <c r="N475" t="s">
        <v>2279</v>
      </c>
      <c r="O475" s="190" t="str">
        <f>"["&amp;$C475&amp;"]["&amp;$D475&amp;"]["&amp;$F475&amp;"]"</f>
        <v>[S05_DefaultValues][12][InstallationNumber]</v>
      </c>
    </row>
    <row r="476" spans="1:15" x14ac:dyDescent="0.3">
      <c r="A476" t="s">
        <v>2277</v>
      </c>
      <c r="B476" t="s">
        <v>1847</v>
      </c>
      <c r="C476" t="s">
        <v>1855</v>
      </c>
      <c r="D476">
        <v>13</v>
      </c>
      <c r="E476" t="s">
        <v>1447</v>
      </c>
      <c r="F476" t="s">
        <v>1858</v>
      </c>
      <c r="G476" t="s">
        <v>1748</v>
      </c>
      <c r="H476" t="s">
        <v>2279</v>
      </c>
      <c r="I476">
        <v>9</v>
      </c>
      <c r="J476" t="s">
        <v>2279</v>
      </c>
      <c r="K476" t="s">
        <v>2279</v>
      </c>
      <c r="L476" t="s">
        <v>2279</v>
      </c>
      <c r="M476" t="s">
        <v>2279</v>
      </c>
      <c r="N476" t="s">
        <v>2279</v>
      </c>
      <c r="O476" s="190" t="str">
        <f>"["&amp;$C476&amp;"]["&amp;$D476&amp;"]["&amp;$F476&amp;"]"</f>
        <v>[S05_DefaultValues][13][InstallationNumber]</v>
      </c>
    </row>
    <row r="477" spans="1:15" x14ac:dyDescent="0.3">
      <c r="A477" t="s">
        <v>2277</v>
      </c>
      <c r="B477" t="s">
        <v>1847</v>
      </c>
      <c r="C477" t="s">
        <v>1855</v>
      </c>
      <c r="D477">
        <v>14</v>
      </c>
      <c r="E477" t="s">
        <v>1447</v>
      </c>
      <c r="F477" t="s">
        <v>1858</v>
      </c>
      <c r="G477" t="s">
        <v>1748</v>
      </c>
      <c r="H477" t="s">
        <v>2279</v>
      </c>
      <c r="I477">
        <v>2</v>
      </c>
      <c r="J477" t="s">
        <v>2279</v>
      </c>
      <c r="K477" t="s">
        <v>2279</v>
      </c>
      <c r="L477" t="s">
        <v>2279</v>
      </c>
      <c r="M477" t="s">
        <v>2279</v>
      </c>
      <c r="N477" t="s">
        <v>2279</v>
      </c>
      <c r="O477" s="190" t="str">
        <f>"["&amp;$C477&amp;"]["&amp;$D477&amp;"]["&amp;$F477&amp;"]"</f>
        <v>[S05_DefaultValues][14][InstallationNumber]</v>
      </c>
    </row>
    <row r="478" spans="1:15" x14ac:dyDescent="0.3">
      <c r="A478" t="s">
        <v>2277</v>
      </c>
      <c r="B478" t="s">
        <v>1847</v>
      </c>
      <c r="C478" t="s">
        <v>1855</v>
      </c>
      <c r="D478">
        <v>15</v>
      </c>
      <c r="E478" t="s">
        <v>1447</v>
      </c>
      <c r="F478" t="s">
        <v>1858</v>
      </c>
      <c r="G478" t="s">
        <v>1748</v>
      </c>
      <c r="H478" t="s">
        <v>2279</v>
      </c>
      <c r="I478">
        <v>11</v>
      </c>
      <c r="J478" t="s">
        <v>2279</v>
      </c>
      <c r="K478" t="s">
        <v>2279</v>
      </c>
      <c r="L478" t="s">
        <v>2279</v>
      </c>
      <c r="M478" t="s">
        <v>2279</v>
      </c>
      <c r="N478" t="s">
        <v>2279</v>
      </c>
      <c r="O478" s="190" t="str">
        <f>"["&amp;$C478&amp;"]["&amp;$D478&amp;"]["&amp;$F478&amp;"]"</f>
        <v>[S05_DefaultValues][15][InstallationNumber]</v>
      </c>
    </row>
    <row r="479" spans="1:15" x14ac:dyDescent="0.3">
      <c r="A479" t="s">
        <v>2277</v>
      </c>
      <c r="B479" t="s">
        <v>1847</v>
      </c>
      <c r="C479" t="s">
        <v>1855</v>
      </c>
      <c r="D479">
        <v>16</v>
      </c>
      <c r="E479" t="s">
        <v>1447</v>
      </c>
      <c r="F479" t="s">
        <v>1858</v>
      </c>
      <c r="G479" t="s">
        <v>1748</v>
      </c>
      <c r="H479" t="s">
        <v>2279</v>
      </c>
      <c r="I479">
        <v>1</v>
      </c>
      <c r="J479" t="s">
        <v>2279</v>
      </c>
      <c r="K479" t="s">
        <v>2279</v>
      </c>
      <c r="L479" t="s">
        <v>2279</v>
      </c>
      <c r="M479" t="s">
        <v>2279</v>
      </c>
      <c r="N479" t="s">
        <v>2279</v>
      </c>
      <c r="O479" s="190" t="str">
        <f>"["&amp;$C479&amp;"]["&amp;$D479&amp;"]["&amp;$F479&amp;"]"</f>
        <v>[S05_DefaultValues][16][InstallationNumber]</v>
      </c>
    </row>
    <row r="480" spans="1:15" x14ac:dyDescent="0.3">
      <c r="A480" t="s">
        <v>2277</v>
      </c>
      <c r="B480" t="s">
        <v>1847</v>
      </c>
      <c r="C480" t="s">
        <v>1855</v>
      </c>
      <c r="D480">
        <v>17</v>
      </c>
      <c r="E480" t="s">
        <v>1447</v>
      </c>
      <c r="F480" t="s">
        <v>1858</v>
      </c>
      <c r="G480" t="s">
        <v>1748</v>
      </c>
      <c r="H480" t="s">
        <v>2279</v>
      </c>
      <c r="I480">
        <v>5</v>
      </c>
      <c r="J480" t="s">
        <v>2279</v>
      </c>
      <c r="K480" t="s">
        <v>2279</v>
      </c>
      <c r="L480" t="s">
        <v>2279</v>
      </c>
      <c r="M480" t="s">
        <v>2279</v>
      </c>
      <c r="N480" t="s">
        <v>2279</v>
      </c>
      <c r="O480" s="190" t="str">
        <f>"["&amp;$C480&amp;"]["&amp;$D480&amp;"]["&amp;$F480&amp;"]"</f>
        <v>[S05_DefaultValues][17][InstallationNumber]</v>
      </c>
    </row>
    <row r="481" spans="1:15" x14ac:dyDescent="0.3">
      <c r="A481" t="s">
        <v>2277</v>
      </c>
      <c r="B481" t="s">
        <v>1847</v>
      </c>
      <c r="C481" t="s">
        <v>1855</v>
      </c>
      <c r="D481">
        <v>18</v>
      </c>
      <c r="E481" t="s">
        <v>1447</v>
      </c>
      <c r="F481" t="s">
        <v>1858</v>
      </c>
      <c r="G481" t="s">
        <v>1748</v>
      </c>
      <c r="H481" t="s">
        <v>2279</v>
      </c>
      <c r="I481">
        <v>2</v>
      </c>
      <c r="J481" t="s">
        <v>2279</v>
      </c>
      <c r="K481" t="s">
        <v>2279</v>
      </c>
      <c r="L481" t="s">
        <v>2279</v>
      </c>
      <c r="M481" t="s">
        <v>2279</v>
      </c>
      <c r="N481" t="s">
        <v>2279</v>
      </c>
      <c r="O481" s="190" t="str">
        <f>"["&amp;$C481&amp;"]["&amp;$D481&amp;"]["&amp;$F481&amp;"]"</f>
        <v>[S05_DefaultValues][18][InstallationNumber]</v>
      </c>
    </row>
    <row r="482" spans="1:15" x14ac:dyDescent="0.3">
      <c r="A482" t="s">
        <v>2277</v>
      </c>
      <c r="B482" t="s">
        <v>1847</v>
      </c>
      <c r="C482" t="s">
        <v>1855</v>
      </c>
      <c r="D482">
        <v>19</v>
      </c>
      <c r="E482" t="s">
        <v>1447</v>
      </c>
      <c r="F482" t="s">
        <v>1858</v>
      </c>
      <c r="G482" t="s">
        <v>1748</v>
      </c>
      <c r="H482" t="s">
        <v>2279</v>
      </c>
      <c r="I482">
        <v>1</v>
      </c>
      <c r="J482" t="s">
        <v>2279</v>
      </c>
      <c r="K482" t="s">
        <v>2279</v>
      </c>
      <c r="L482" t="s">
        <v>2279</v>
      </c>
      <c r="M482" t="s">
        <v>2279</v>
      </c>
      <c r="N482" t="s">
        <v>2279</v>
      </c>
      <c r="O482" s="190" t="str">
        <f>"["&amp;$C482&amp;"]["&amp;$D482&amp;"]["&amp;$F482&amp;"]"</f>
        <v>[S05_DefaultValues][19][InstallationNumber]</v>
      </c>
    </row>
    <row r="483" spans="1:15" x14ac:dyDescent="0.3">
      <c r="A483" t="s">
        <v>2277</v>
      </c>
      <c r="B483" t="s">
        <v>1847</v>
      </c>
      <c r="C483" t="s">
        <v>1855</v>
      </c>
      <c r="D483">
        <v>20</v>
      </c>
      <c r="E483" t="s">
        <v>1447</v>
      </c>
      <c r="F483" t="s">
        <v>1858</v>
      </c>
      <c r="G483" t="s">
        <v>1748</v>
      </c>
      <c r="H483" t="s">
        <v>2279</v>
      </c>
      <c r="I483">
        <v>2</v>
      </c>
      <c r="J483" t="s">
        <v>2279</v>
      </c>
      <c r="K483" t="s">
        <v>2279</v>
      </c>
      <c r="L483" t="s">
        <v>2279</v>
      </c>
      <c r="M483" t="s">
        <v>2279</v>
      </c>
      <c r="N483" t="s">
        <v>2279</v>
      </c>
      <c r="O483" s="190" t="str">
        <f>"["&amp;$C483&amp;"]["&amp;$D483&amp;"]["&amp;$F483&amp;"]"</f>
        <v>[S05_DefaultValues][20][InstallationNumber]</v>
      </c>
    </row>
    <row r="484" spans="1:15" x14ac:dyDescent="0.3">
      <c r="A484" t="s">
        <v>2277</v>
      </c>
      <c r="B484" t="s">
        <v>1847</v>
      </c>
      <c r="C484" t="s">
        <v>1855</v>
      </c>
      <c r="D484">
        <v>21</v>
      </c>
      <c r="E484" t="s">
        <v>1447</v>
      </c>
      <c r="F484" t="s">
        <v>1858</v>
      </c>
      <c r="G484" t="s">
        <v>1748</v>
      </c>
      <c r="H484" t="s">
        <v>2279</v>
      </c>
      <c r="I484">
        <v>2</v>
      </c>
      <c r="J484" t="s">
        <v>2279</v>
      </c>
      <c r="K484" t="s">
        <v>2279</v>
      </c>
      <c r="L484" t="s">
        <v>2279</v>
      </c>
      <c r="M484" t="s">
        <v>2279</v>
      </c>
      <c r="N484" t="s">
        <v>2279</v>
      </c>
      <c r="O484" s="190" t="str">
        <f>"["&amp;$C484&amp;"]["&amp;$D484&amp;"]["&amp;$F484&amp;"]"</f>
        <v>[S05_DefaultValues][21][InstallationNumber]</v>
      </c>
    </row>
    <row r="485" spans="1:15" x14ac:dyDescent="0.3">
      <c r="A485" t="s">
        <v>2277</v>
      </c>
      <c r="B485" t="s">
        <v>1847</v>
      </c>
      <c r="C485" t="s">
        <v>1855</v>
      </c>
      <c r="D485">
        <v>22</v>
      </c>
      <c r="E485" t="s">
        <v>1447</v>
      </c>
      <c r="F485" t="s">
        <v>1858</v>
      </c>
      <c r="G485" t="s">
        <v>1748</v>
      </c>
      <c r="H485" t="s">
        <v>2279</v>
      </c>
      <c r="I485">
        <v>2</v>
      </c>
      <c r="J485" t="s">
        <v>2279</v>
      </c>
      <c r="K485" t="s">
        <v>2279</v>
      </c>
      <c r="L485" t="s">
        <v>2279</v>
      </c>
      <c r="M485" t="s">
        <v>2279</v>
      </c>
      <c r="N485" t="s">
        <v>2279</v>
      </c>
      <c r="O485" s="190" t="str">
        <f>"["&amp;$C485&amp;"]["&amp;$D485&amp;"]["&amp;$F485&amp;"]"</f>
        <v>[S05_DefaultValues][22][InstallationNumber]</v>
      </c>
    </row>
    <row r="486" spans="1:15" x14ac:dyDescent="0.3">
      <c r="A486" t="s">
        <v>2277</v>
      </c>
      <c r="B486" t="s">
        <v>1847</v>
      </c>
      <c r="C486" t="s">
        <v>1855</v>
      </c>
      <c r="D486">
        <v>23</v>
      </c>
      <c r="E486" t="s">
        <v>1447</v>
      </c>
      <c r="F486" t="s">
        <v>1858</v>
      </c>
      <c r="G486" t="s">
        <v>1748</v>
      </c>
      <c r="H486" t="s">
        <v>2279</v>
      </c>
      <c r="I486">
        <v>1</v>
      </c>
      <c r="J486" t="s">
        <v>2279</v>
      </c>
      <c r="K486" t="s">
        <v>2279</v>
      </c>
      <c r="L486" t="s">
        <v>2279</v>
      </c>
      <c r="M486" t="s">
        <v>2279</v>
      </c>
      <c r="N486" t="s">
        <v>2279</v>
      </c>
      <c r="O486" s="190" t="str">
        <f>"["&amp;$C486&amp;"]["&amp;$D486&amp;"]["&amp;$F486&amp;"]"</f>
        <v>[S05_DefaultValues][23][InstallationNumber]</v>
      </c>
    </row>
    <row r="487" spans="1:15" x14ac:dyDescent="0.3">
      <c r="A487" t="s">
        <v>2277</v>
      </c>
      <c r="B487" t="s">
        <v>1847</v>
      </c>
      <c r="C487" t="s">
        <v>1855</v>
      </c>
      <c r="D487">
        <v>24</v>
      </c>
      <c r="E487" t="s">
        <v>1447</v>
      </c>
      <c r="F487" t="s">
        <v>1858</v>
      </c>
      <c r="G487" t="s">
        <v>1748</v>
      </c>
      <c r="H487" t="s">
        <v>2279</v>
      </c>
      <c r="I487">
        <v>1</v>
      </c>
      <c r="J487" t="s">
        <v>2279</v>
      </c>
      <c r="K487" t="s">
        <v>2279</v>
      </c>
      <c r="L487" t="s">
        <v>2279</v>
      </c>
      <c r="M487" t="s">
        <v>2279</v>
      </c>
      <c r="N487" t="s">
        <v>2279</v>
      </c>
      <c r="O487" s="190" t="str">
        <f>"["&amp;$C487&amp;"]["&amp;$D487&amp;"]["&amp;$F487&amp;"]"</f>
        <v>[S05_DefaultValues][24][InstallationNumber]</v>
      </c>
    </row>
    <row r="488" spans="1:15" x14ac:dyDescent="0.3">
      <c r="A488" t="s">
        <v>2277</v>
      </c>
      <c r="B488" t="s">
        <v>1847</v>
      </c>
      <c r="C488" t="s">
        <v>1855</v>
      </c>
      <c r="D488">
        <v>25</v>
      </c>
      <c r="E488" t="s">
        <v>1447</v>
      </c>
      <c r="F488" t="s">
        <v>1858</v>
      </c>
      <c r="G488" t="s">
        <v>1748</v>
      </c>
      <c r="H488" t="s">
        <v>2279</v>
      </c>
      <c r="I488">
        <v>1</v>
      </c>
      <c r="J488" t="s">
        <v>2279</v>
      </c>
      <c r="K488" t="s">
        <v>2279</v>
      </c>
      <c r="L488" t="s">
        <v>2279</v>
      </c>
      <c r="M488" t="s">
        <v>2279</v>
      </c>
      <c r="N488" t="s">
        <v>2279</v>
      </c>
      <c r="O488" s="190" t="str">
        <f>"["&amp;$C488&amp;"]["&amp;$D488&amp;"]["&amp;$F488&amp;"]"</f>
        <v>[S05_DefaultValues][25][InstallationNumber]</v>
      </c>
    </row>
    <row r="489" spans="1:15" x14ac:dyDescent="0.3">
      <c r="A489" t="s">
        <v>2277</v>
      </c>
      <c r="B489" t="s">
        <v>1847</v>
      </c>
      <c r="C489" t="s">
        <v>1855</v>
      </c>
      <c r="D489">
        <v>26</v>
      </c>
      <c r="E489" t="s">
        <v>1447</v>
      </c>
      <c r="F489" t="s">
        <v>1858</v>
      </c>
      <c r="G489" t="s">
        <v>1748</v>
      </c>
      <c r="H489" t="s">
        <v>2279</v>
      </c>
      <c r="I489">
        <v>2</v>
      </c>
      <c r="J489" t="s">
        <v>2279</v>
      </c>
      <c r="K489" t="s">
        <v>2279</v>
      </c>
      <c r="L489" t="s">
        <v>2279</v>
      </c>
      <c r="M489" t="s">
        <v>2279</v>
      </c>
      <c r="N489" t="s">
        <v>2279</v>
      </c>
      <c r="O489" s="190" t="str">
        <f>"["&amp;$C489&amp;"]["&amp;$D489&amp;"]["&amp;$F489&amp;"]"</f>
        <v>[S05_DefaultValues][26][InstallationNumber]</v>
      </c>
    </row>
    <row r="490" spans="1:15" x14ac:dyDescent="0.3">
      <c r="A490" t="s">
        <v>2277</v>
      </c>
      <c r="B490" t="s">
        <v>1847</v>
      </c>
      <c r="C490" t="s">
        <v>1855</v>
      </c>
      <c r="D490">
        <v>27</v>
      </c>
      <c r="E490" t="s">
        <v>1447</v>
      </c>
      <c r="F490" t="s">
        <v>1858</v>
      </c>
      <c r="G490" t="s">
        <v>1748</v>
      </c>
      <c r="H490" t="s">
        <v>2279</v>
      </c>
      <c r="I490">
        <v>5</v>
      </c>
      <c r="J490" t="s">
        <v>2279</v>
      </c>
      <c r="K490" t="s">
        <v>2279</v>
      </c>
      <c r="L490" t="s">
        <v>2279</v>
      </c>
      <c r="M490" t="s">
        <v>2279</v>
      </c>
      <c r="N490" t="s">
        <v>2279</v>
      </c>
      <c r="O490" s="190" t="str">
        <f>"["&amp;$C490&amp;"]["&amp;$D490&amp;"]["&amp;$F490&amp;"]"</f>
        <v>[S05_DefaultValues][27][InstallationNumber]</v>
      </c>
    </row>
    <row r="491" spans="1:15" x14ac:dyDescent="0.3">
      <c r="A491" t="s">
        <v>2277</v>
      </c>
      <c r="B491" t="s">
        <v>1847</v>
      </c>
      <c r="C491" t="s">
        <v>1855</v>
      </c>
      <c r="D491">
        <v>28</v>
      </c>
      <c r="E491" t="s">
        <v>1447</v>
      </c>
      <c r="F491" t="s">
        <v>1858</v>
      </c>
      <c r="G491" t="s">
        <v>1748</v>
      </c>
      <c r="H491" t="s">
        <v>2279</v>
      </c>
      <c r="I491">
        <v>1</v>
      </c>
      <c r="J491" t="s">
        <v>2279</v>
      </c>
      <c r="K491" t="s">
        <v>2279</v>
      </c>
      <c r="L491" t="s">
        <v>2279</v>
      </c>
      <c r="M491" t="s">
        <v>2279</v>
      </c>
      <c r="N491" t="s">
        <v>2279</v>
      </c>
      <c r="O491" s="190" t="str">
        <f>"["&amp;$C491&amp;"]["&amp;$D491&amp;"]["&amp;$F491&amp;"]"</f>
        <v>[S05_DefaultValues][28][InstallationNumber]</v>
      </c>
    </row>
    <row r="492" spans="1:15" x14ac:dyDescent="0.3">
      <c r="A492" t="s">
        <v>2277</v>
      </c>
      <c r="B492" t="s">
        <v>1847</v>
      </c>
      <c r="C492" t="s">
        <v>1855</v>
      </c>
      <c r="D492">
        <v>29</v>
      </c>
      <c r="E492" t="s">
        <v>1447</v>
      </c>
      <c r="F492" t="s">
        <v>1858</v>
      </c>
      <c r="G492" t="s">
        <v>1748</v>
      </c>
      <c r="H492" t="s">
        <v>2279</v>
      </c>
      <c r="I492">
        <v>1</v>
      </c>
      <c r="J492" t="s">
        <v>2279</v>
      </c>
      <c r="K492" t="s">
        <v>2279</v>
      </c>
      <c r="L492" t="s">
        <v>2279</v>
      </c>
      <c r="M492" t="s">
        <v>2279</v>
      </c>
      <c r="N492" t="s">
        <v>2279</v>
      </c>
      <c r="O492" s="190" t="str">
        <f>"["&amp;$C492&amp;"]["&amp;$D492&amp;"]["&amp;$F492&amp;"]"</f>
        <v>[S05_DefaultValues][29][InstallationNumber]</v>
      </c>
    </row>
    <row r="493" spans="1:15" x14ac:dyDescent="0.3">
      <c r="A493" t="s">
        <v>2277</v>
      </c>
      <c r="B493" t="s">
        <v>1847</v>
      </c>
      <c r="C493" t="s">
        <v>1855</v>
      </c>
      <c r="D493">
        <v>30</v>
      </c>
      <c r="E493" t="s">
        <v>1447</v>
      </c>
      <c r="F493" t="s">
        <v>1858</v>
      </c>
      <c r="G493" t="s">
        <v>1748</v>
      </c>
      <c r="H493" t="s">
        <v>2279</v>
      </c>
      <c r="I493">
        <v>1</v>
      </c>
      <c r="J493" t="s">
        <v>2279</v>
      </c>
      <c r="K493" t="s">
        <v>2279</v>
      </c>
      <c r="L493" t="s">
        <v>2279</v>
      </c>
      <c r="M493" t="s">
        <v>2279</v>
      </c>
      <c r="N493" t="s">
        <v>2279</v>
      </c>
      <c r="O493" s="190" t="str">
        <f>"["&amp;$C493&amp;"]["&amp;$D493&amp;"]["&amp;$F493&amp;"]"</f>
        <v>[S05_DefaultValues][30][InstallationNumber]</v>
      </c>
    </row>
    <row r="494" spans="1:15" x14ac:dyDescent="0.3">
      <c r="A494" t="s">
        <v>2277</v>
      </c>
      <c r="B494" t="s">
        <v>1847</v>
      </c>
      <c r="C494" t="s">
        <v>1855</v>
      </c>
      <c r="D494">
        <v>31</v>
      </c>
      <c r="E494" t="s">
        <v>1447</v>
      </c>
      <c r="F494" t="s">
        <v>1858</v>
      </c>
      <c r="G494" t="s">
        <v>1748</v>
      </c>
      <c r="H494" t="s">
        <v>2279</v>
      </c>
      <c r="I494">
        <v>9</v>
      </c>
      <c r="J494" t="s">
        <v>2279</v>
      </c>
      <c r="K494" t="s">
        <v>2279</v>
      </c>
      <c r="L494" t="s">
        <v>2279</v>
      </c>
      <c r="M494" t="s">
        <v>2279</v>
      </c>
      <c r="N494" t="s">
        <v>2279</v>
      </c>
      <c r="O494" s="190" t="str">
        <f>"["&amp;$C494&amp;"]["&amp;$D494&amp;"]["&amp;$F494&amp;"]"</f>
        <v>[S05_DefaultValues][31][InstallationNumber]</v>
      </c>
    </row>
    <row r="495" spans="1:15" x14ac:dyDescent="0.3">
      <c r="A495" t="s">
        <v>2277</v>
      </c>
      <c r="B495" t="s">
        <v>1847</v>
      </c>
      <c r="C495" t="s">
        <v>1855</v>
      </c>
      <c r="D495">
        <v>32</v>
      </c>
      <c r="E495" t="s">
        <v>1447</v>
      </c>
      <c r="F495" t="s">
        <v>1858</v>
      </c>
      <c r="G495" t="s">
        <v>1748</v>
      </c>
      <c r="H495" t="s">
        <v>2279</v>
      </c>
      <c r="I495">
        <v>2</v>
      </c>
      <c r="J495" t="s">
        <v>2279</v>
      </c>
      <c r="K495" t="s">
        <v>2279</v>
      </c>
      <c r="L495" t="s">
        <v>2279</v>
      </c>
      <c r="M495" t="s">
        <v>2279</v>
      </c>
      <c r="N495" t="s">
        <v>2279</v>
      </c>
      <c r="O495" s="190" t="str">
        <f>"["&amp;$C495&amp;"]["&amp;$D495&amp;"]["&amp;$F495&amp;"]"</f>
        <v>[S05_DefaultValues][32][InstallationNumber]</v>
      </c>
    </row>
    <row r="496" spans="1:15" x14ac:dyDescent="0.3">
      <c r="A496" t="s">
        <v>2277</v>
      </c>
      <c r="B496" t="s">
        <v>1847</v>
      </c>
      <c r="C496" t="s">
        <v>1855</v>
      </c>
      <c r="D496">
        <v>33</v>
      </c>
      <c r="E496" t="s">
        <v>1447</v>
      </c>
      <c r="F496" t="s">
        <v>1858</v>
      </c>
      <c r="G496" t="s">
        <v>1748</v>
      </c>
      <c r="H496" t="s">
        <v>2279</v>
      </c>
      <c r="I496">
        <v>15</v>
      </c>
      <c r="J496" t="s">
        <v>2279</v>
      </c>
      <c r="K496" t="s">
        <v>2279</v>
      </c>
      <c r="L496" t="s">
        <v>2279</v>
      </c>
      <c r="M496" t="s">
        <v>2279</v>
      </c>
      <c r="N496" t="s">
        <v>2279</v>
      </c>
      <c r="O496" s="190" t="str">
        <f>"["&amp;$C496&amp;"]["&amp;$D496&amp;"]["&amp;$F496&amp;"]"</f>
        <v>[S05_DefaultValues][33][InstallationNumber]</v>
      </c>
    </row>
    <row r="497" spans="1:15" x14ac:dyDescent="0.3">
      <c r="A497" t="s">
        <v>2277</v>
      </c>
      <c r="B497" t="s">
        <v>1847</v>
      </c>
      <c r="C497" t="s">
        <v>1855</v>
      </c>
      <c r="D497">
        <v>34</v>
      </c>
      <c r="E497" t="s">
        <v>1447</v>
      </c>
      <c r="F497" t="s">
        <v>1858</v>
      </c>
      <c r="G497" t="s">
        <v>1748</v>
      </c>
      <c r="H497" t="s">
        <v>2279</v>
      </c>
      <c r="I497">
        <v>3</v>
      </c>
      <c r="J497" t="s">
        <v>2279</v>
      </c>
      <c r="K497" t="s">
        <v>2279</v>
      </c>
      <c r="L497" t="s">
        <v>2279</v>
      </c>
      <c r="M497" t="s">
        <v>2279</v>
      </c>
      <c r="N497" t="s">
        <v>2279</v>
      </c>
      <c r="O497" s="190" t="str">
        <f>"["&amp;$C497&amp;"]["&amp;$D497&amp;"]["&amp;$F497&amp;"]"</f>
        <v>[S05_DefaultValues][34][InstallationNumber]</v>
      </c>
    </row>
    <row r="498" spans="1:15" x14ac:dyDescent="0.3">
      <c r="A498" t="s">
        <v>2277</v>
      </c>
      <c r="B498" t="s">
        <v>1847</v>
      </c>
      <c r="C498" t="s">
        <v>1855</v>
      </c>
      <c r="D498">
        <v>35</v>
      </c>
      <c r="E498" t="s">
        <v>1447</v>
      </c>
      <c r="F498" t="s">
        <v>1858</v>
      </c>
      <c r="G498" t="s">
        <v>1748</v>
      </c>
      <c r="H498" t="s">
        <v>2279</v>
      </c>
      <c r="I498">
        <v>11</v>
      </c>
      <c r="J498" t="s">
        <v>2279</v>
      </c>
      <c r="K498" t="s">
        <v>2279</v>
      </c>
      <c r="L498" t="s">
        <v>2279</v>
      </c>
      <c r="M498" t="s">
        <v>2279</v>
      </c>
      <c r="N498" t="s">
        <v>2279</v>
      </c>
      <c r="O498" s="190" t="str">
        <f>"["&amp;$C498&amp;"]["&amp;$D498&amp;"]["&amp;$F498&amp;"]"</f>
        <v>[S05_DefaultValues][35][InstallationNumber]</v>
      </c>
    </row>
    <row r="499" spans="1:15" x14ac:dyDescent="0.3">
      <c r="A499" t="s">
        <v>2277</v>
      </c>
      <c r="B499" t="s">
        <v>1847</v>
      </c>
      <c r="C499" t="s">
        <v>1855</v>
      </c>
      <c r="D499">
        <v>36</v>
      </c>
      <c r="E499" t="s">
        <v>1447</v>
      </c>
      <c r="F499" t="s">
        <v>1858</v>
      </c>
      <c r="G499" t="s">
        <v>1748</v>
      </c>
      <c r="H499" t="s">
        <v>2279</v>
      </c>
      <c r="I499">
        <v>4</v>
      </c>
      <c r="J499" t="s">
        <v>2279</v>
      </c>
      <c r="K499" t="s">
        <v>2279</v>
      </c>
      <c r="L499" t="s">
        <v>2279</v>
      </c>
      <c r="M499" t="s">
        <v>2279</v>
      </c>
      <c r="N499" t="s">
        <v>2279</v>
      </c>
      <c r="O499" s="190" t="str">
        <f>"["&amp;$C499&amp;"]["&amp;$D499&amp;"]["&amp;$F499&amp;"]"</f>
        <v>[S05_DefaultValues][36][InstallationNumber]</v>
      </c>
    </row>
    <row r="500" spans="1:15" x14ac:dyDescent="0.3">
      <c r="A500" t="s">
        <v>2277</v>
      </c>
      <c r="B500" t="s">
        <v>1847</v>
      </c>
      <c r="C500" t="s">
        <v>1855</v>
      </c>
      <c r="D500">
        <v>37</v>
      </c>
      <c r="E500" t="s">
        <v>1447</v>
      </c>
      <c r="F500" t="s">
        <v>1858</v>
      </c>
      <c r="G500" t="s">
        <v>1748</v>
      </c>
      <c r="H500" t="s">
        <v>2279</v>
      </c>
      <c r="I500">
        <v>2</v>
      </c>
      <c r="J500" t="s">
        <v>2279</v>
      </c>
      <c r="K500" t="s">
        <v>2279</v>
      </c>
      <c r="L500" t="s">
        <v>2279</v>
      </c>
      <c r="M500" t="s">
        <v>2279</v>
      </c>
      <c r="N500" t="s">
        <v>2279</v>
      </c>
      <c r="O500" s="190" t="str">
        <f>"["&amp;$C500&amp;"]["&amp;$D500&amp;"]["&amp;$F500&amp;"]"</f>
        <v>[S05_DefaultValues][37][InstallationNumber]</v>
      </c>
    </row>
    <row r="501" spans="1:15" x14ac:dyDescent="0.3">
      <c r="A501" t="s">
        <v>2277</v>
      </c>
      <c r="B501" t="s">
        <v>1847</v>
      </c>
      <c r="C501" t="s">
        <v>1855</v>
      </c>
      <c r="D501">
        <v>38</v>
      </c>
      <c r="E501" t="s">
        <v>1447</v>
      </c>
      <c r="F501" t="s">
        <v>1858</v>
      </c>
      <c r="G501" t="s">
        <v>1748</v>
      </c>
      <c r="H501" t="s">
        <v>2279</v>
      </c>
      <c r="I501">
        <v>6</v>
      </c>
      <c r="J501" t="s">
        <v>2279</v>
      </c>
      <c r="K501" t="s">
        <v>2279</v>
      </c>
      <c r="L501" t="s">
        <v>2279</v>
      </c>
      <c r="M501" t="s">
        <v>2279</v>
      </c>
      <c r="N501" t="s">
        <v>2279</v>
      </c>
      <c r="O501" s="190" t="str">
        <f>"["&amp;$C501&amp;"]["&amp;$D501&amp;"]["&amp;$F501&amp;"]"</f>
        <v>[S05_DefaultValues][38][InstallationNumber]</v>
      </c>
    </row>
    <row r="502" spans="1:15" x14ac:dyDescent="0.3">
      <c r="A502" t="s">
        <v>2277</v>
      </c>
      <c r="B502" t="s">
        <v>1847</v>
      </c>
      <c r="C502" t="s">
        <v>1855</v>
      </c>
      <c r="D502">
        <v>39</v>
      </c>
      <c r="E502" t="s">
        <v>1447</v>
      </c>
      <c r="F502" t="s">
        <v>1858</v>
      </c>
      <c r="G502" t="s">
        <v>1748</v>
      </c>
      <c r="H502" t="s">
        <v>2279</v>
      </c>
      <c r="I502">
        <v>4</v>
      </c>
      <c r="J502" t="s">
        <v>2279</v>
      </c>
      <c r="K502" t="s">
        <v>2279</v>
      </c>
      <c r="L502" t="s">
        <v>2279</v>
      </c>
      <c r="M502" t="s">
        <v>2279</v>
      </c>
      <c r="N502" t="s">
        <v>2279</v>
      </c>
      <c r="O502" s="190" t="str">
        <f>"["&amp;$C502&amp;"]["&amp;$D502&amp;"]["&amp;$F502&amp;"]"</f>
        <v>[S05_DefaultValues][39][InstallationNumber]</v>
      </c>
    </row>
    <row r="503" spans="1:15" x14ac:dyDescent="0.3">
      <c r="A503" t="s">
        <v>2277</v>
      </c>
      <c r="B503" t="s">
        <v>1847</v>
      </c>
      <c r="C503" t="s">
        <v>1855</v>
      </c>
      <c r="D503">
        <v>40</v>
      </c>
      <c r="E503" t="s">
        <v>1447</v>
      </c>
      <c r="F503" t="s">
        <v>1858</v>
      </c>
      <c r="G503" t="s">
        <v>1748</v>
      </c>
      <c r="H503" t="s">
        <v>2279</v>
      </c>
      <c r="I503">
        <v>2</v>
      </c>
      <c r="J503" t="s">
        <v>2279</v>
      </c>
      <c r="K503" t="s">
        <v>2279</v>
      </c>
      <c r="L503" t="s">
        <v>2279</v>
      </c>
      <c r="M503" t="s">
        <v>2279</v>
      </c>
      <c r="N503" t="s">
        <v>2279</v>
      </c>
      <c r="O503" s="190" t="str">
        <f>"["&amp;$C503&amp;"]["&amp;$D503&amp;"]["&amp;$F503&amp;"]"</f>
        <v>[S05_DefaultValues][40][InstallationNumber]</v>
      </c>
    </row>
    <row r="504" spans="1:15" x14ac:dyDescent="0.3">
      <c r="A504" t="s">
        <v>2277</v>
      </c>
      <c r="B504" t="s">
        <v>1847</v>
      </c>
      <c r="C504" t="s">
        <v>1855</v>
      </c>
      <c r="D504">
        <v>41</v>
      </c>
      <c r="E504" t="s">
        <v>1447</v>
      </c>
      <c r="F504" t="s">
        <v>1858</v>
      </c>
      <c r="G504" t="s">
        <v>1748</v>
      </c>
      <c r="H504" t="s">
        <v>2279</v>
      </c>
      <c r="I504">
        <v>1</v>
      </c>
      <c r="J504" t="s">
        <v>2279</v>
      </c>
      <c r="K504" t="s">
        <v>2279</v>
      </c>
      <c r="L504" t="s">
        <v>2279</v>
      </c>
      <c r="M504" t="s">
        <v>2279</v>
      </c>
      <c r="N504" t="s">
        <v>2279</v>
      </c>
      <c r="O504" s="190" t="str">
        <f>"["&amp;$C504&amp;"]["&amp;$D504&amp;"]["&amp;$F504&amp;"]"</f>
        <v>[S05_DefaultValues][41][InstallationNumber]</v>
      </c>
    </row>
    <row r="505" spans="1:15" x14ac:dyDescent="0.3">
      <c r="A505" t="s">
        <v>2277</v>
      </c>
      <c r="B505" t="s">
        <v>1847</v>
      </c>
      <c r="C505" t="s">
        <v>1855</v>
      </c>
      <c r="D505">
        <v>42</v>
      </c>
      <c r="E505" t="s">
        <v>1447</v>
      </c>
      <c r="F505" t="s">
        <v>1858</v>
      </c>
      <c r="G505" t="s">
        <v>1748</v>
      </c>
      <c r="H505" t="s">
        <v>2279</v>
      </c>
      <c r="I505">
        <v>1</v>
      </c>
      <c r="J505" t="s">
        <v>2279</v>
      </c>
      <c r="K505" t="s">
        <v>2279</v>
      </c>
      <c r="L505" t="s">
        <v>2279</v>
      </c>
      <c r="M505" t="s">
        <v>2279</v>
      </c>
      <c r="N505" t="s">
        <v>2279</v>
      </c>
      <c r="O505" s="190" t="str">
        <f>"["&amp;$C505&amp;"]["&amp;$D505&amp;"]["&amp;$F505&amp;"]"</f>
        <v>[S05_DefaultValues][42][InstallationNumber]</v>
      </c>
    </row>
    <row r="506" spans="1:15" x14ac:dyDescent="0.3">
      <c r="A506" t="s">
        <v>2277</v>
      </c>
      <c r="B506" t="s">
        <v>1847</v>
      </c>
      <c r="C506" t="s">
        <v>1855</v>
      </c>
      <c r="D506">
        <v>43</v>
      </c>
      <c r="E506" t="s">
        <v>1447</v>
      </c>
      <c r="F506" t="s">
        <v>1858</v>
      </c>
      <c r="G506" t="s">
        <v>1748</v>
      </c>
      <c r="H506" t="s">
        <v>2279</v>
      </c>
      <c r="I506">
        <v>1</v>
      </c>
      <c r="J506" t="s">
        <v>2279</v>
      </c>
      <c r="K506" t="s">
        <v>2279</v>
      </c>
      <c r="L506" t="s">
        <v>2279</v>
      </c>
      <c r="M506" t="s">
        <v>2279</v>
      </c>
      <c r="N506" t="s">
        <v>2279</v>
      </c>
      <c r="O506" s="190" t="str">
        <f>"["&amp;$C506&amp;"]["&amp;$D506&amp;"]["&amp;$F506&amp;"]"</f>
        <v>[S05_DefaultValues][43][InstallationNumber]</v>
      </c>
    </row>
    <row r="507" spans="1:15" x14ac:dyDescent="0.3">
      <c r="A507" t="s">
        <v>2277</v>
      </c>
      <c r="B507" t="s">
        <v>1847</v>
      </c>
      <c r="C507" t="s">
        <v>1855</v>
      </c>
      <c r="D507">
        <v>44</v>
      </c>
      <c r="E507" t="s">
        <v>1447</v>
      </c>
      <c r="F507" t="s">
        <v>1858</v>
      </c>
      <c r="G507" t="s">
        <v>1748</v>
      </c>
      <c r="H507" t="s">
        <v>2279</v>
      </c>
      <c r="I507">
        <v>2</v>
      </c>
      <c r="J507" t="s">
        <v>2279</v>
      </c>
      <c r="K507" t="s">
        <v>2279</v>
      </c>
      <c r="L507" t="s">
        <v>2279</v>
      </c>
      <c r="M507" t="s">
        <v>2279</v>
      </c>
      <c r="N507" t="s">
        <v>2279</v>
      </c>
      <c r="O507" s="190" t="str">
        <f>"["&amp;$C507&amp;"]["&amp;$D507&amp;"]["&amp;$F507&amp;"]"</f>
        <v>[S05_DefaultValues][44][InstallationNumber]</v>
      </c>
    </row>
    <row r="508" spans="1:15" x14ac:dyDescent="0.3">
      <c r="A508" t="s">
        <v>2277</v>
      </c>
      <c r="B508" t="s">
        <v>1847</v>
      </c>
      <c r="C508" t="s">
        <v>1855</v>
      </c>
      <c r="D508">
        <v>45</v>
      </c>
      <c r="E508" t="s">
        <v>1447</v>
      </c>
      <c r="F508" t="s">
        <v>1858</v>
      </c>
      <c r="G508" t="s">
        <v>1748</v>
      </c>
      <c r="H508" t="s">
        <v>2279</v>
      </c>
      <c r="I508">
        <v>1</v>
      </c>
      <c r="J508" t="s">
        <v>2279</v>
      </c>
      <c r="K508" t="s">
        <v>2279</v>
      </c>
      <c r="L508" t="s">
        <v>2279</v>
      </c>
      <c r="M508" t="s">
        <v>2279</v>
      </c>
      <c r="N508" t="s">
        <v>2279</v>
      </c>
      <c r="O508" s="190" t="str">
        <f>"["&amp;$C508&amp;"]["&amp;$D508&amp;"]["&amp;$F508&amp;"]"</f>
        <v>[S05_DefaultValues][45][InstallationNumber]</v>
      </c>
    </row>
    <row r="509" spans="1:15" x14ac:dyDescent="0.3">
      <c r="A509" t="s">
        <v>2277</v>
      </c>
      <c r="B509" t="s">
        <v>1859</v>
      </c>
      <c r="C509" t="s">
        <v>1860</v>
      </c>
      <c r="D509">
        <v>1</v>
      </c>
      <c r="E509" t="s">
        <v>1447</v>
      </c>
      <c r="F509" t="s">
        <v>1861</v>
      </c>
      <c r="G509" t="s">
        <v>1741</v>
      </c>
      <c r="H509" t="s">
        <v>2343</v>
      </c>
      <c r="I509" t="s">
        <v>2279</v>
      </c>
      <c r="J509" t="s">
        <v>2279</v>
      </c>
      <c r="K509" t="s">
        <v>2279</v>
      </c>
      <c r="L509" t="s">
        <v>2279</v>
      </c>
      <c r="M509" t="s">
        <v>2279</v>
      </c>
      <c r="N509" t="s">
        <v>2279</v>
      </c>
      <c r="O509" s="190" t="str">
        <f>"["&amp;$C509&amp;"]["&amp;$D509&amp;"]["&amp;$F509&amp;"]"</f>
        <v>[S05_InstallationDifferentSamplingFrequency][1][SamplingFuelMaterial]</v>
      </c>
    </row>
    <row r="510" spans="1:15" x14ac:dyDescent="0.3">
      <c r="A510" t="s">
        <v>2277</v>
      </c>
      <c r="B510" t="s">
        <v>1859</v>
      </c>
      <c r="C510" t="s">
        <v>1860</v>
      </c>
      <c r="D510">
        <v>2</v>
      </c>
      <c r="E510" t="s">
        <v>1447</v>
      </c>
      <c r="F510" t="s">
        <v>1861</v>
      </c>
      <c r="G510" t="s">
        <v>1741</v>
      </c>
      <c r="H510" t="s">
        <v>2344</v>
      </c>
      <c r="I510" t="s">
        <v>2279</v>
      </c>
      <c r="J510" t="s">
        <v>2279</v>
      </c>
      <c r="K510" t="s">
        <v>2279</v>
      </c>
      <c r="L510" t="s">
        <v>2279</v>
      </c>
      <c r="M510" t="s">
        <v>2279</v>
      </c>
      <c r="N510" t="s">
        <v>2279</v>
      </c>
      <c r="O510" s="190" t="str">
        <f>"["&amp;$C510&amp;"]["&amp;$D510&amp;"]["&amp;$F510&amp;"]"</f>
        <v>[S05_InstallationDifferentSamplingFrequency][2][SamplingFuelMaterial]</v>
      </c>
    </row>
    <row r="511" spans="1:15" x14ac:dyDescent="0.3">
      <c r="A511" t="s">
        <v>2277</v>
      </c>
      <c r="B511" t="s">
        <v>1859</v>
      </c>
      <c r="C511" t="s">
        <v>1860</v>
      </c>
      <c r="D511">
        <v>3</v>
      </c>
      <c r="E511" t="s">
        <v>1447</v>
      </c>
      <c r="F511" t="s">
        <v>1861</v>
      </c>
      <c r="G511" t="s">
        <v>1741</v>
      </c>
      <c r="H511" t="s">
        <v>2345</v>
      </c>
      <c r="I511" t="s">
        <v>2279</v>
      </c>
      <c r="J511" t="s">
        <v>2279</v>
      </c>
      <c r="K511" t="s">
        <v>2279</v>
      </c>
      <c r="L511" t="s">
        <v>2279</v>
      </c>
      <c r="M511" t="s">
        <v>2279</v>
      </c>
      <c r="N511" t="s">
        <v>2279</v>
      </c>
      <c r="O511" s="190" t="str">
        <f>"["&amp;$C511&amp;"]["&amp;$D511&amp;"]["&amp;$F511&amp;"]"</f>
        <v>[S05_InstallationDifferentSamplingFrequency][3][SamplingFuelMaterial]</v>
      </c>
    </row>
    <row r="512" spans="1:15" x14ac:dyDescent="0.3">
      <c r="A512" t="s">
        <v>2277</v>
      </c>
      <c r="B512" t="s">
        <v>1859</v>
      </c>
      <c r="C512" t="s">
        <v>1860</v>
      </c>
      <c r="D512">
        <v>1</v>
      </c>
      <c r="E512" t="s">
        <v>1447</v>
      </c>
      <c r="F512" t="s">
        <v>1862</v>
      </c>
      <c r="G512" t="s">
        <v>1748</v>
      </c>
      <c r="H512" t="s">
        <v>2279</v>
      </c>
      <c r="I512">
        <v>1</v>
      </c>
      <c r="J512" t="s">
        <v>2279</v>
      </c>
      <c r="K512" t="s">
        <v>2279</v>
      </c>
      <c r="L512" t="s">
        <v>2279</v>
      </c>
      <c r="M512" t="s">
        <v>2279</v>
      </c>
      <c r="N512" t="s">
        <v>2279</v>
      </c>
      <c r="O512" s="190" t="str">
        <f>"["&amp;$C512&amp;"]["&amp;$D512&amp;"]["&amp;$F512&amp;"]"</f>
        <v>[S05_InstallationDifferentSamplingFrequency][1][CountInstallationsDiffFrequency]</v>
      </c>
    </row>
    <row r="513" spans="1:15" x14ac:dyDescent="0.3">
      <c r="A513" t="s">
        <v>2277</v>
      </c>
      <c r="B513" t="s">
        <v>1859</v>
      </c>
      <c r="C513" t="s">
        <v>1860</v>
      </c>
      <c r="D513">
        <v>2</v>
      </c>
      <c r="E513" t="s">
        <v>1447</v>
      </c>
      <c r="F513" t="s">
        <v>1862</v>
      </c>
      <c r="G513" t="s">
        <v>1748</v>
      </c>
      <c r="H513" t="s">
        <v>2279</v>
      </c>
      <c r="I513">
        <v>1</v>
      </c>
      <c r="J513" t="s">
        <v>2279</v>
      </c>
      <c r="K513" t="s">
        <v>2279</v>
      </c>
      <c r="L513" t="s">
        <v>2279</v>
      </c>
      <c r="M513" t="s">
        <v>2279</v>
      </c>
      <c r="N513" t="s">
        <v>2279</v>
      </c>
      <c r="O513" s="190" t="str">
        <f>"["&amp;$C513&amp;"]["&amp;$D513&amp;"]["&amp;$F513&amp;"]"</f>
        <v>[S05_InstallationDifferentSamplingFrequency][2][CountInstallationsDiffFrequency]</v>
      </c>
    </row>
    <row r="514" spans="1:15" x14ac:dyDescent="0.3">
      <c r="A514" t="s">
        <v>2277</v>
      </c>
      <c r="B514" t="s">
        <v>1859</v>
      </c>
      <c r="C514" t="s">
        <v>1860</v>
      </c>
      <c r="D514">
        <v>3</v>
      </c>
      <c r="E514" t="s">
        <v>1447</v>
      </c>
      <c r="F514" t="s">
        <v>1862</v>
      </c>
      <c r="G514" t="s">
        <v>1748</v>
      </c>
      <c r="H514" t="s">
        <v>2279</v>
      </c>
      <c r="I514">
        <v>1</v>
      </c>
      <c r="J514" t="s">
        <v>2279</v>
      </c>
      <c r="K514" t="s">
        <v>2279</v>
      </c>
      <c r="L514" t="s">
        <v>2279</v>
      </c>
      <c r="M514" t="s">
        <v>2279</v>
      </c>
      <c r="N514" t="s">
        <v>2279</v>
      </c>
      <c r="O514" s="190" t="str">
        <f>"["&amp;$C514&amp;"]["&amp;$D514&amp;"]["&amp;$F514&amp;"]"</f>
        <v>[S05_InstallationDifferentSamplingFrequency][3][CountInstallationsDiffFrequency]</v>
      </c>
    </row>
    <row r="515" spans="1:15" x14ac:dyDescent="0.3">
      <c r="A515" t="s">
        <v>2277</v>
      </c>
      <c r="B515" t="s">
        <v>1859</v>
      </c>
      <c r="C515" t="s">
        <v>1860</v>
      </c>
      <c r="D515">
        <v>1</v>
      </c>
      <c r="E515" t="s">
        <v>1447</v>
      </c>
      <c r="F515" t="s">
        <v>1863</v>
      </c>
      <c r="G515" t="s">
        <v>1748</v>
      </c>
      <c r="H515" t="s">
        <v>2279</v>
      </c>
      <c r="I515">
        <v>1</v>
      </c>
      <c r="J515" t="s">
        <v>2279</v>
      </c>
      <c r="K515" t="s">
        <v>2279</v>
      </c>
      <c r="L515" t="s">
        <v>2279</v>
      </c>
      <c r="M515" t="s">
        <v>2279</v>
      </c>
      <c r="N515" t="s">
        <v>2279</v>
      </c>
      <c r="O515" s="190" t="str">
        <f>"["&amp;$C515&amp;"]["&amp;$D515&amp;"]["&amp;$F515&amp;"]"</f>
        <v>[S05_InstallationDifferentSamplingFrequency][1][MajorSourceStreams]</v>
      </c>
    </row>
    <row r="516" spans="1:15" x14ac:dyDescent="0.3">
      <c r="A516" t="s">
        <v>2277</v>
      </c>
      <c r="B516" t="s">
        <v>1859</v>
      </c>
      <c r="C516" t="s">
        <v>1860</v>
      </c>
      <c r="D516">
        <v>2</v>
      </c>
      <c r="E516" t="s">
        <v>1447</v>
      </c>
      <c r="F516" t="s">
        <v>1863</v>
      </c>
      <c r="G516" t="s">
        <v>1748</v>
      </c>
      <c r="H516" t="s">
        <v>2279</v>
      </c>
      <c r="I516">
        <v>1</v>
      </c>
      <c r="J516" t="s">
        <v>2279</v>
      </c>
      <c r="K516" t="s">
        <v>2279</v>
      </c>
      <c r="L516" t="s">
        <v>2279</v>
      </c>
      <c r="M516" t="s">
        <v>2279</v>
      </c>
      <c r="N516" t="s">
        <v>2279</v>
      </c>
      <c r="O516" s="190" t="str">
        <f>"["&amp;$C516&amp;"]["&amp;$D516&amp;"]["&amp;$F516&amp;"]"</f>
        <v>[S05_InstallationDifferentSamplingFrequency][2][MajorSourceStreams]</v>
      </c>
    </row>
    <row r="517" spans="1:15" x14ac:dyDescent="0.3">
      <c r="A517" t="s">
        <v>2277</v>
      </c>
      <c r="B517" t="s">
        <v>1859</v>
      </c>
      <c r="C517" t="s">
        <v>1860</v>
      </c>
      <c r="D517">
        <v>3</v>
      </c>
      <c r="E517" t="s">
        <v>1447</v>
      </c>
      <c r="F517" t="s">
        <v>1863</v>
      </c>
      <c r="G517" t="s">
        <v>1748</v>
      </c>
      <c r="H517" t="s">
        <v>2279</v>
      </c>
      <c r="I517">
        <v>1</v>
      </c>
      <c r="J517" t="s">
        <v>2279</v>
      </c>
      <c r="K517" t="s">
        <v>2279</v>
      </c>
      <c r="L517" t="s">
        <v>2279</v>
      </c>
      <c r="M517" t="s">
        <v>2279</v>
      </c>
      <c r="N517" t="s">
        <v>2279</v>
      </c>
      <c r="O517" s="190" t="str">
        <f>"["&amp;$C517&amp;"]["&amp;$D517&amp;"]["&amp;$F517&amp;"]"</f>
        <v>[S05_InstallationDifferentSamplingFrequency][3][MajorSourceStreams]</v>
      </c>
    </row>
    <row r="518" spans="1:15" x14ac:dyDescent="0.3">
      <c r="A518" t="s">
        <v>2277</v>
      </c>
      <c r="B518" t="s">
        <v>1859</v>
      </c>
      <c r="C518" t="s">
        <v>1860</v>
      </c>
      <c r="D518">
        <v>1</v>
      </c>
      <c r="E518" t="s">
        <v>1447</v>
      </c>
      <c r="F518" t="s">
        <v>1864</v>
      </c>
      <c r="G518" t="s">
        <v>1759</v>
      </c>
      <c r="H518" t="s">
        <v>2279</v>
      </c>
      <c r="I518" t="s">
        <v>2279</v>
      </c>
      <c r="J518" t="s">
        <v>2279</v>
      </c>
      <c r="K518" t="s">
        <v>2279</v>
      </c>
      <c r="L518" t="s">
        <v>1419</v>
      </c>
      <c r="M518" t="s">
        <v>2279</v>
      </c>
      <c r="N518" t="s">
        <v>2279</v>
      </c>
      <c r="O518" s="190" t="str">
        <f>"["&amp;$C518&amp;"]["&amp;$D518&amp;"]["&amp;$F518&amp;"]"</f>
        <v>[S05_InstallationDifferentSamplingFrequency][1][SamplingPlanDocumented]</v>
      </c>
    </row>
    <row r="519" spans="1:15" x14ac:dyDescent="0.3">
      <c r="A519" t="s">
        <v>2277</v>
      </c>
      <c r="B519" t="s">
        <v>1859</v>
      </c>
      <c r="C519" t="s">
        <v>1860</v>
      </c>
      <c r="D519">
        <v>2</v>
      </c>
      <c r="E519" t="s">
        <v>1447</v>
      </c>
      <c r="F519" t="s">
        <v>1864</v>
      </c>
      <c r="G519" t="s">
        <v>1759</v>
      </c>
      <c r="H519" t="s">
        <v>2279</v>
      </c>
      <c r="I519" t="s">
        <v>2279</v>
      </c>
      <c r="J519" t="s">
        <v>2279</v>
      </c>
      <c r="K519" t="s">
        <v>2279</v>
      </c>
      <c r="L519" t="s">
        <v>1419</v>
      </c>
      <c r="M519" t="s">
        <v>2279</v>
      </c>
      <c r="N519" t="s">
        <v>2279</v>
      </c>
      <c r="O519" s="190" t="str">
        <f>"["&amp;$C519&amp;"]["&amp;$D519&amp;"]["&amp;$F519&amp;"]"</f>
        <v>[S05_InstallationDifferentSamplingFrequency][2][SamplingPlanDocumented]</v>
      </c>
    </row>
    <row r="520" spans="1:15" x14ac:dyDescent="0.3">
      <c r="A520" t="s">
        <v>2277</v>
      </c>
      <c r="B520" t="s">
        <v>1859</v>
      </c>
      <c r="C520" t="s">
        <v>1860</v>
      </c>
      <c r="D520">
        <v>3</v>
      </c>
      <c r="E520" t="s">
        <v>1447</v>
      </c>
      <c r="F520" t="s">
        <v>1864</v>
      </c>
      <c r="G520" t="s">
        <v>1759</v>
      </c>
      <c r="H520" t="s">
        <v>2279</v>
      </c>
      <c r="I520" t="s">
        <v>2279</v>
      </c>
      <c r="J520" t="s">
        <v>2279</v>
      </c>
      <c r="K520" t="s">
        <v>2279</v>
      </c>
      <c r="L520" t="s">
        <v>1419</v>
      </c>
      <c r="M520" t="s">
        <v>2279</v>
      </c>
      <c r="N520" t="s">
        <v>2279</v>
      </c>
      <c r="O520" s="190" t="str">
        <f>"["&amp;$C520&amp;"]["&amp;$D520&amp;"]["&amp;$F520&amp;"]"</f>
        <v>[S05_InstallationDifferentSamplingFrequency][3][SamplingPlanDocumented]</v>
      </c>
    </row>
    <row r="521" spans="1:15" x14ac:dyDescent="0.3">
      <c r="A521" t="s">
        <v>2277</v>
      </c>
      <c r="B521" t="s">
        <v>1859</v>
      </c>
      <c r="C521" t="s">
        <v>1860</v>
      </c>
      <c r="D521">
        <v>1</v>
      </c>
      <c r="E521" t="s">
        <v>1447</v>
      </c>
      <c r="F521" t="s">
        <v>1865</v>
      </c>
      <c r="G521" t="s">
        <v>1741</v>
      </c>
      <c r="H521" t="s">
        <v>2346</v>
      </c>
      <c r="I521" t="s">
        <v>2279</v>
      </c>
      <c r="J521" t="s">
        <v>2279</v>
      </c>
      <c r="K521" t="s">
        <v>2279</v>
      </c>
      <c r="L521" t="s">
        <v>2279</v>
      </c>
      <c r="M521" t="s">
        <v>2279</v>
      </c>
      <c r="N521" t="s">
        <v>2279</v>
      </c>
      <c r="O521" s="190" t="str">
        <f>"["&amp;$C521&amp;"]["&amp;$D521&amp;"]["&amp;$F521&amp;"]"</f>
        <v>[S05_InstallationDifferentSamplingFrequency][1][SamplingPlanNotDocumentedReason]</v>
      </c>
    </row>
    <row r="522" spans="1:15" x14ac:dyDescent="0.3">
      <c r="A522" t="s">
        <v>2277</v>
      </c>
      <c r="B522" t="s">
        <v>1859</v>
      </c>
      <c r="C522" t="s">
        <v>1860</v>
      </c>
      <c r="D522">
        <v>2</v>
      </c>
      <c r="E522" t="s">
        <v>1447</v>
      </c>
      <c r="F522" t="s">
        <v>1865</v>
      </c>
      <c r="G522" t="s">
        <v>1741</v>
      </c>
      <c r="H522" t="s">
        <v>2346</v>
      </c>
      <c r="I522" t="s">
        <v>2279</v>
      </c>
      <c r="J522" t="s">
        <v>2279</v>
      </c>
      <c r="K522" t="s">
        <v>2279</v>
      </c>
      <c r="L522" t="s">
        <v>2279</v>
      </c>
      <c r="M522" t="s">
        <v>2279</v>
      </c>
      <c r="N522" t="s">
        <v>2279</v>
      </c>
      <c r="O522" s="190" t="str">
        <f>"["&amp;$C522&amp;"]["&amp;$D522&amp;"]["&amp;$F522&amp;"]"</f>
        <v>[S05_InstallationDifferentSamplingFrequency][2][SamplingPlanNotDocumentedReason]</v>
      </c>
    </row>
    <row r="523" spans="1:15" x14ac:dyDescent="0.3">
      <c r="A523" t="s">
        <v>2277</v>
      </c>
      <c r="B523" t="s">
        <v>1859</v>
      </c>
      <c r="C523" t="s">
        <v>1860</v>
      </c>
      <c r="D523">
        <v>3</v>
      </c>
      <c r="E523" t="s">
        <v>1447</v>
      </c>
      <c r="F523" t="s">
        <v>1865</v>
      </c>
      <c r="G523" t="s">
        <v>1741</v>
      </c>
      <c r="H523" t="s">
        <v>2347</v>
      </c>
      <c r="I523" t="s">
        <v>2279</v>
      </c>
      <c r="J523" t="s">
        <v>2279</v>
      </c>
      <c r="K523" t="s">
        <v>2279</v>
      </c>
      <c r="L523" t="s">
        <v>2279</v>
      </c>
      <c r="M523" t="s">
        <v>2279</v>
      </c>
      <c r="N523" t="s">
        <v>2279</v>
      </c>
      <c r="O523" s="190" t="str">
        <f>"["&amp;$C523&amp;"]["&amp;$D523&amp;"]["&amp;$F523&amp;"]"</f>
        <v>[S05_InstallationDifferentSamplingFrequency][3][SamplingPlanNotDocumentedReason]</v>
      </c>
    </row>
    <row r="524" spans="1:15" x14ac:dyDescent="0.3">
      <c r="A524" t="s">
        <v>2277</v>
      </c>
      <c r="B524" t="s">
        <v>1866</v>
      </c>
      <c r="C524" t="s">
        <v>1867</v>
      </c>
      <c r="D524">
        <v>1</v>
      </c>
      <c r="E524" t="s">
        <v>1447</v>
      </c>
      <c r="F524" t="s">
        <v>1868</v>
      </c>
      <c r="G524" t="s">
        <v>1741</v>
      </c>
      <c r="H524" t="s">
        <v>2348</v>
      </c>
      <c r="I524" t="s">
        <v>2279</v>
      </c>
      <c r="J524" t="s">
        <v>2279</v>
      </c>
      <c r="K524" t="s">
        <v>2279</v>
      </c>
      <c r="L524" t="s">
        <v>2279</v>
      </c>
      <c r="M524" t="s">
        <v>2279</v>
      </c>
      <c r="N524" t="s">
        <v>2279</v>
      </c>
      <c r="O524" s="190" t="str">
        <f>"["&amp;$C524&amp;"]["&amp;$D524&amp;"]["&amp;$F524&amp;"]"</f>
        <v>[S05_CategoryCHighestTierNotApplied][1][InstallationID]</v>
      </c>
    </row>
    <row r="525" spans="1:15" x14ac:dyDescent="0.3">
      <c r="A525" t="s">
        <v>2277</v>
      </c>
      <c r="B525" t="s">
        <v>1866</v>
      </c>
      <c r="C525" t="s">
        <v>1867</v>
      </c>
      <c r="D525">
        <v>2</v>
      </c>
      <c r="E525" t="s">
        <v>1447</v>
      </c>
      <c r="F525" t="s">
        <v>1868</v>
      </c>
      <c r="G525" t="s">
        <v>1741</v>
      </c>
      <c r="H525" t="s">
        <v>2349</v>
      </c>
      <c r="I525" t="s">
        <v>2279</v>
      </c>
      <c r="J525" t="s">
        <v>2279</v>
      </c>
      <c r="K525" t="s">
        <v>2279</v>
      </c>
      <c r="L525" t="s">
        <v>2279</v>
      </c>
      <c r="M525" t="s">
        <v>2279</v>
      </c>
      <c r="N525" t="s">
        <v>2279</v>
      </c>
      <c r="O525" s="190" t="str">
        <f>"["&amp;$C525&amp;"]["&amp;$D525&amp;"]["&amp;$F525&amp;"]"</f>
        <v>[S05_CategoryCHighestTierNotApplied][2][InstallationID]</v>
      </c>
    </row>
    <row r="526" spans="1:15" x14ac:dyDescent="0.3">
      <c r="A526" t="s">
        <v>2277</v>
      </c>
      <c r="B526" t="s">
        <v>1866</v>
      </c>
      <c r="C526" t="s">
        <v>1867</v>
      </c>
      <c r="D526">
        <v>3</v>
      </c>
      <c r="E526" t="s">
        <v>1447</v>
      </c>
      <c r="F526" t="s">
        <v>1868</v>
      </c>
      <c r="G526" t="s">
        <v>1741</v>
      </c>
      <c r="H526" t="s">
        <v>2350</v>
      </c>
      <c r="I526" t="s">
        <v>2279</v>
      </c>
      <c r="J526" t="s">
        <v>2279</v>
      </c>
      <c r="K526" t="s">
        <v>2279</v>
      </c>
      <c r="L526" t="s">
        <v>2279</v>
      </c>
      <c r="M526" t="s">
        <v>2279</v>
      </c>
      <c r="N526" t="s">
        <v>2279</v>
      </c>
      <c r="O526" s="190" t="str">
        <f>"["&amp;$C526&amp;"]["&amp;$D526&amp;"]["&amp;$F526&amp;"]"</f>
        <v>[S05_CategoryCHighestTierNotApplied][3][InstallationID]</v>
      </c>
    </row>
    <row r="527" spans="1:15" x14ac:dyDescent="0.3">
      <c r="A527" t="s">
        <v>2277</v>
      </c>
      <c r="B527" t="s">
        <v>1866</v>
      </c>
      <c r="C527" t="s">
        <v>1867</v>
      </c>
      <c r="D527">
        <v>4</v>
      </c>
      <c r="E527" t="s">
        <v>1447</v>
      </c>
      <c r="F527" t="s">
        <v>1868</v>
      </c>
      <c r="G527" t="s">
        <v>1741</v>
      </c>
      <c r="H527" t="s">
        <v>2351</v>
      </c>
      <c r="I527" t="s">
        <v>2279</v>
      </c>
      <c r="J527" t="s">
        <v>2279</v>
      </c>
      <c r="K527" t="s">
        <v>2279</v>
      </c>
      <c r="L527" t="s">
        <v>2279</v>
      </c>
      <c r="M527" t="s">
        <v>2279</v>
      </c>
      <c r="N527" t="s">
        <v>2279</v>
      </c>
      <c r="O527" s="190" t="str">
        <f>"["&amp;$C527&amp;"]["&amp;$D527&amp;"]["&amp;$F527&amp;"]"</f>
        <v>[S05_CategoryCHighestTierNotApplied][4][InstallationID]</v>
      </c>
    </row>
    <row r="528" spans="1:15" x14ac:dyDescent="0.3">
      <c r="A528" t="s">
        <v>2277</v>
      </c>
      <c r="B528" t="s">
        <v>1866</v>
      </c>
      <c r="C528" t="s">
        <v>1867</v>
      </c>
      <c r="D528">
        <v>5</v>
      </c>
      <c r="E528" t="s">
        <v>1447</v>
      </c>
      <c r="F528" t="s">
        <v>1868</v>
      </c>
      <c r="G528" t="s">
        <v>1741</v>
      </c>
      <c r="H528" t="s">
        <v>2352</v>
      </c>
      <c r="I528" t="s">
        <v>2279</v>
      </c>
      <c r="J528" t="s">
        <v>2279</v>
      </c>
      <c r="K528" t="s">
        <v>2279</v>
      </c>
      <c r="L528" t="s">
        <v>2279</v>
      </c>
      <c r="M528" t="s">
        <v>2279</v>
      </c>
      <c r="N528" t="s">
        <v>2279</v>
      </c>
      <c r="O528" s="190" t="str">
        <f>"["&amp;$C528&amp;"]["&amp;$D528&amp;"]["&amp;$F528&amp;"]"</f>
        <v>[S05_CategoryCHighestTierNotApplied][5][InstallationID]</v>
      </c>
    </row>
    <row r="529" spans="1:15" x14ac:dyDescent="0.3">
      <c r="A529" t="s">
        <v>2277</v>
      </c>
      <c r="B529" t="s">
        <v>1866</v>
      </c>
      <c r="C529" t="s">
        <v>1867</v>
      </c>
      <c r="D529">
        <v>6</v>
      </c>
      <c r="E529" t="s">
        <v>1447</v>
      </c>
      <c r="F529" t="s">
        <v>1868</v>
      </c>
      <c r="G529" t="s">
        <v>1741</v>
      </c>
      <c r="H529" t="s">
        <v>2353</v>
      </c>
      <c r="I529" t="s">
        <v>2279</v>
      </c>
      <c r="J529" t="s">
        <v>2279</v>
      </c>
      <c r="K529" t="s">
        <v>2279</v>
      </c>
      <c r="L529" t="s">
        <v>2279</v>
      </c>
      <c r="M529" t="s">
        <v>2279</v>
      </c>
      <c r="N529" t="s">
        <v>2279</v>
      </c>
      <c r="O529" s="190" t="str">
        <f>"["&amp;$C529&amp;"]["&amp;$D529&amp;"]["&amp;$F529&amp;"]"</f>
        <v>[S05_CategoryCHighestTierNotApplied][6][InstallationID]</v>
      </c>
    </row>
    <row r="530" spans="1:15" x14ac:dyDescent="0.3">
      <c r="A530" t="s">
        <v>2277</v>
      </c>
      <c r="B530" t="s">
        <v>1866</v>
      </c>
      <c r="C530" t="s">
        <v>1867</v>
      </c>
      <c r="D530">
        <v>7</v>
      </c>
      <c r="E530" t="s">
        <v>1447</v>
      </c>
      <c r="F530" t="s">
        <v>1868</v>
      </c>
      <c r="G530" t="s">
        <v>1741</v>
      </c>
      <c r="H530" t="s">
        <v>2354</v>
      </c>
      <c r="I530" t="s">
        <v>2279</v>
      </c>
      <c r="J530" t="s">
        <v>2279</v>
      </c>
      <c r="K530" t="s">
        <v>2279</v>
      </c>
      <c r="L530" t="s">
        <v>2279</v>
      </c>
      <c r="M530" t="s">
        <v>2279</v>
      </c>
      <c r="N530" t="s">
        <v>2279</v>
      </c>
      <c r="O530" s="190" t="str">
        <f>"["&amp;$C530&amp;"]["&amp;$D530&amp;"]["&amp;$F530&amp;"]"</f>
        <v>[S05_CategoryCHighestTierNotApplied][7][InstallationID]</v>
      </c>
    </row>
    <row r="531" spans="1:15" x14ac:dyDescent="0.3">
      <c r="A531" t="s">
        <v>2277</v>
      </c>
      <c r="B531" t="s">
        <v>1866</v>
      </c>
      <c r="C531" t="s">
        <v>1867</v>
      </c>
      <c r="D531">
        <v>8</v>
      </c>
      <c r="E531" t="s">
        <v>1447</v>
      </c>
      <c r="F531" t="s">
        <v>1868</v>
      </c>
      <c r="G531" t="s">
        <v>1741</v>
      </c>
      <c r="H531" t="s">
        <v>2355</v>
      </c>
      <c r="I531" t="s">
        <v>2279</v>
      </c>
      <c r="J531" t="s">
        <v>2279</v>
      </c>
      <c r="K531" t="s">
        <v>2279</v>
      </c>
      <c r="L531" t="s">
        <v>2279</v>
      </c>
      <c r="M531" t="s">
        <v>2279</v>
      </c>
      <c r="N531" t="s">
        <v>2279</v>
      </c>
      <c r="O531" s="190" t="str">
        <f>"["&amp;$C531&amp;"]["&amp;$D531&amp;"]["&amp;$F531&amp;"]"</f>
        <v>[S05_CategoryCHighestTierNotApplied][8][InstallationID]</v>
      </c>
    </row>
    <row r="532" spans="1:15" x14ac:dyDescent="0.3">
      <c r="A532" t="s">
        <v>2277</v>
      </c>
      <c r="B532" t="s">
        <v>1866</v>
      </c>
      <c r="C532" t="s">
        <v>1867</v>
      </c>
      <c r="D532">
        <v>9</v>
      </c>
      <c r="E532" t="s">
        <v>1447</v>
      </c>
      <c r="F532" t="s">
        <v>1868</v>
      </c>
      <c r="G532" t="s">
        <v>1741</v>
      </c>
      <c r="H532" t="s">
        <v>2356</v>
      </c>
      <c r="I532" t="s">
        <v>2279</v>
      </c>
      <c r="J532" t="s">
        <v>2279</v>
      </c>
      <c r="K532" t="s">
        <v>2279</v>
      </c>
      <c r="L532" t="s">
        <v>2279</v>
      </c>
      <c r="M532" t="s">
        <v>2279</v>
      </c>
      <c r="N532" t="s">
        <v>2279</v>
      </c>
      <c r="O532" s="190" t="str">
        <f>"["&amp;$C532&amp;"]["&amp;$D532&amp;"]["&amp;$F532&amp;"]"</f>
        <v>[S05_CategoryCHighestTierNotApplied][9][InstallationID]</v>
      </c>
    </row>
    <row r="533" spans="1:15" x14ac:dyDescent="0.3">
      <c r="A533" t="s">
        <v>2277</v>
      </c>
      <c r="B533" t="s">
        <v>1866</v>
      </c>
      <c r="C533" t="s">
        <v>1867</v>
      </c>
      <c r="D533">
        <v>10</v>
      </c>
      <c r="E533" t="s">
        <v>1447</v>
      </c>
      <c r="F533" t="s">
        <v>1868</v>
      </c>
      <c r="G533" t="s">
        <v>1741</v>
      </c>
      <c r="H533" t="s">
        <v>2357</v>
      </c>
      <c r="I533" t="s">
        <v>2279</v>
      </c>
      <c r="J533" t="s">
        <v>2279</v>
      </c>
      <c r="K533" t="s">
        <v>2279</v>
      </c>
      <c r="L533" t="s">
        <v>2279</v>
      </c>
      <c r="M533" t="s">
        <v>2279</v>
      </c>
      <c r="N533" t="s">
        <v>2279</v>
      </c>
      <c r="O533" s="190" t="str">
        <f>"["&amp;$C533&amp;"]["&amp;$D533&amp;"]["&amp;$F533&amp;"]"</f>
        <v>[S05_CategoryCHighestTierNotApplied][10][InstallationID]</v>
      </c>
    </row>
    <row r="534" spans="1:15" x14ac:dyDescent="0.3">
      <c r="A534" t="s">
        <v>2277</v>
      </c>
      <c r="B534" t="s">
        <v>1866</v>
      </c>
      <c r="C534" t="s">
        <v>1867</v>
      </c>
      <c r="D534">
        <v>11</v>
      </c>
      <c r="E534" t="s">
        <v>1447</v>
      </c>
      <c r="F534" t="s">
        <v>1868</v>
      </c>
      <c r="G534" t="s">
        <v>1741</v>
      </c>
      <c r="H534" t="s">
        <v>2358</v>
      </c>
      <c r="I534" t="s">
        <v>2279</v>
      </c>
      <c r="J534" t="s">
        <v>2279</v>
      </c>
      <c r="K534" t="s">
        <v>2279</v>
      </c>
      <c r="L534" t="s">
        <v>2279</v>
      </c>
      <c r="M534" t="s">
        <v>2279</v>
      </c>
      <c r="N534" t="s">
        <v>2279</v>
      </c>
      <c r="O534" s="190" t="str">
        <f>"["&amp;$C534&amp;"]["&amp;$D534&amp;"]["&amp;$F534&amp;"]"</f>
        <v>[S05_CategoryCHighestTierNotApplied][11][InstallationID]</v>
      </c>
    </row>
    <row r="535" spans="1:15" x14ac:dyDescent="0.3">
      <c r="A535" t="s">
        <v>2277</v>
      </c>
      <c r="B535" t="s">
        <v>1866</v>
      </c>
      <c r="C535" t="s">
        <v>1867</v>
      </c>
      <c r="D535">
        <v>12</v>
      </c>
      <c r="E535" t="s">
        <v>1447</v>
      </c>
      <c r="F535" t="s">
        <v>1868</v>
      </c>
      <c r="G535" t="s">
        <v>1741</v>
      </c>
      <c r="H535" t="s">
        <v>2359</v>
      </c>
      <c r="I535" t="s">
        <v>2279</v>
      </c>
      <c r="J535" t="s">
        <v>2279</v>
      </c>
      <c r="K535" t="s">
        <v>2279</v>
      </c>
      <c r="L535" t="s">
        <v>2279</v>
      </c>
      <c r="M535" t="s">
        <v>2279</v>
      </c>
      <c r="N535" t="s">
        <v>2279</v>
      </c>
      <c r="O535" s="190" t="str">
        <f>"["&amp;$C535&amp;"]["&amp;$D535&amp;"]["&amp;$F535&amp;"]"</f>
        <v>[S05_CategoryCHighestTierNotApplied][12][InstallationID]</v>
      </c>
    </row>
    <row r="536" spans="1:15" x14ac:dyDescent="0.3">
      <c r="A536" t="s">
        <v>2277</v>
      </c>
      <c r="B536" t="s">
        <v>1866</v>
      </c>
      <c r="C536" t="s">
        <v>1867</v>
      </c>
      <c r="D536">
        <v>13</v>
      </c>
      <c r="E536" t="s">
        <v>1447</v>
      </c>
      <c r="F536" t="s">
        <v>1868</v>
      </c>
      <c r="G536" t="s">
        <v>1741</v>
      </c>
      <c r="H536" t="s">
        <v>2360</v>
      </c>
      <c r="I536" t="s">
        <v>2279</v>
      </c>
      <c r="J536" t="s">
        <v>2279</v>
      </c>
      <c r="K536" t="s">
        <v>2279</v>
      </c>
      <c r="L536" t="s">
        <v>2279</v>
      </c>
      <c r="M536" t="s">
        <v>2279</v>
      </c>
      <c r="N536" t="s">
        <v>2279</v>
      </c>
      <c r="O536" s="190" t="str">
        <f>"["&amp;$C536&amp;"]["&amp;$D536&amp;"]["&amp;$F536&amp;"]"</f>
        <v>[S05_CategoryCHighestTierNotApplied][13][InstallationID]</v>
      </c>
    </row>
    <row r="537" spans="1:15" x14ac:dyDescent="0.3">
      <c r="A537" t="s">
        <v>2277</v>
      </c>
      <c r="B537" t="s">
        <v>1866</v>
      </c>
      <c r="C537" t="s">
        <v>1867</v>
      </c>
      <c r="D537">
        <v>14</v>
      </c>
      <c r="E537" t="s">
        <v>1447</v>
      </c>
      <c r="F537" t="s">
        <v>1868</v>
      </c>
      <c r="G537" t="s">
        <v>1741</v>
      </c>
      <c r="H537" t="s">
        <v>2361</v>
      </c>
      <c r="I537" t="s">
        <v>2279</v>
      </c>
      <c r="J537" t="s">
        <v>2279</v>
      </c>
      <c r="K537" t="s">
        <v>2279</v>
      </c>
      <c r="L537" t="s">
        <v>2279</v>
      </c>
      <c r="M537" t="s">
        <v>2279</v>
      </c>
      <c r="N537" t="s">
        <v>2279</v>
      </c>
      <c r="O537" s="190" t="str">
        <f>"["&amp;$C537&amp;"]["&amp;$D537&amp;"]["&amp;$F537&amp;"]"</f>
        <v>[S05_CategoryCHighestTierNotApplied][14][InstallationID]</v>
      </c>
    </row>
    <row r="538" spans="1:15" x14ac:dyDescent="0.3">
      <c r="A538" t="s">
        <v>2277</v>
      </c>
      <c r="B538" t="s">
        <v>1866</v>
      </c>
      <c r="C538" t="s">
        <v>1867</v>
      </c>
      <c r="D538">
        <v>15</v>
      </c>
      <c r="E538" t="s">
        <v>1447</v>
      </c>
      <c r="F538" t="s">
        <v>1868</v>
      </c>
      <c r="G538" t="s">
        <v>1741</v>
      </c>
      <c r="H538" t="s">
        <v>2362</v>
      </c>
      <c r="I538" t="s">
        <v>2279</v>
      </c>
      <c r="J538" t="s">
        <v>2279</v>
      </c>
      <c r="K538" t="s">
        <v>2279</v>
      </c>
      <c r="L538" t="s">
        <v>2279</v>
      </c>
      <c r="M538" t="s">
        <v>2279</v>
      </c>
      <c r="N538" t="s">
        <v>2279</v>
      </c>
      <c r="O538" s="190" t="str">
        <f>"["&amp;$C538&amp;"]["&amp;$D538&amp;"]["&amp;$F538&amp;"]"</f>
        <v>[S05_CategoryCHighestTierNotApplied][15][InstallationID]</v>
      </c>
    </row>
    <row r="539" spans="1:15" x14ac:dyDescent="0.3">
      <c r="A539" t="s">
        <v>2277</v>
      </c>
      <c r="B539" t="s">
        <v>1866</v>
      </c>
      <c r="C539" t="s">
        <v>1867</v>
      </c>
      <c r="D539">
        <v>16</v>
      </c>
      <c r="E539" t="s">
        <v>1447</v>
      </c>
      <c r="F539" t="s">
        <v>1868</v>
      </c>
      <c r="G539" t="s">
        <v>1741</v>
      </c>
      <c r="H539" t="s">
        <v>2363</v>
      </c>
      <c r="I539" t="s">
        <v>2279</v>
      </c>
      <c r="J539" t="s">
        <v>2279</v>
      </c>
      <c r="K539" t="s">
        <v>2279</v>
      </c>
      <c r="L539" t="s">
        <v>2279</v>
      </c>
      <c r="M539" t="s">
        <v>2279</v>
      </c>
      <c r="N539" t="s">
        <v>2279</v>
      </c>
      <c r="O539" s="190" t="str">
        <f>"["&amp;$C539&amp;"]["&amp;$D539&amp;"]["&amp;$F539&amp;"]"</f>
        <v>[S05_CategoryCHighestTierNotApplied][16][InstallationID]</v>
      </c>
    </row>
    <row r="540" spans="1:15" x14ac:dyDescent="0.3">
      <c r="A540" t="s">
        <v>2277</v>
      </c>
      <c r="B540" t="s">
        <v>1866</v>
      </c>
      <c r="C540" t="s">
        <v>1867</v>
      </c>
      <c r="D540">
        <v>1</v>
      </c>
      <c r="E540" t="s">
        <v>1447</v>
      </c>
      <c r="F540" t="s">
        <v>1869</v>
      </c>
      <c r="G540" t="s">
        <v>1741</v>
      </c>
      <c r="H540" t="s">
        <v>2364</v>
      </c>
      <c r="I540" t="s">
        <v>2279</v>
      </c>
      <c r="J540" t="s">
        <v>2279</v>
      </c>
      <c r="K540" t="s">
        <v>2279</v>
      </c>
      <c r="L540" t="s">
        <v>2279</v>
      </c>
      <c r="M540" t="s">
        <v>2279</v>
      </c>
      <c r="N540" t="s">
        <v>2279</v>
      </c>
      <c r="O540" s="190" t="str">
        <f>"["&amp;$C540&amp;"]["&amp;$D540&amp;"]["&amp;$F540&amp;"]"</f>
        <v>[S05_CategoryCHighestTierNotApplied][1][SourceStreamAffected]</v>
      </c>
    </row>
    <row r="541" spans="1:15" x14ac:dyDescent="0.3">
      <c r="A541" t="s">
        <v>2277</v>
      </c>
      <c r="B541" t="s">
        <v>1866</v>
      </c>
      <c r="C541" t="s">
        <v>1867</v>
      </c>
      <c r="D541">
        <v>2</v>
      </c>
      <c r="E541" t="s">
        <v>1447</v>
      </c>
      <c r="F541" t="s">
        <v>1869</v>
      </c>
      <c r="G541" t="s">
        <v>1741</v>
      </c>
      <c r="H541" t="s">
        <v>2364</v>
      </c>
      <c r="I541" t="s">
        <v>2279</v>
      </c>
      <c r="J541" t="s">
        <v>2279</v>
      </c>
      <c r="K541" t="s">
        <v>2279</v>
      </c>
      <c r="L541" t="s">
        <v>2279</v>
      </c>
      <c r="M541" t="s">
        <v>2279</v>
      </c>
      <c r="N541" t="s">
        <v>2279</v>
      </c>
      <c r="O541" s="190" t="str">
        <f>"["&amp;$C541&amp;"]["&amp;$D541&amp;"]["&amp;$F541&amp;"]"</f>
        <v>[S05_CategoryCHighestTierNotApplied][2][SourceStreamAffected]</v>
      </c>
    </row>
    <row r="542" spans="1:15" x14ac:dyDescent="0.3">
      <c r="A542" t="s">
        <v>2277</v>
      </c>
      <c r="B542" t="s">
        <v>1866</v>
      </c>
      <c r="C542" t="s">
        <v>1867</v>
      </c>
      <c r="D542">
        <v>3</v>
      </c>
      <c r="E542" t="s">
        <v>1447</v>
      </c>
      <c r="F542" t="s">
        <v>1869</v>
      </c>
      <c r="G542" t="s">
        <v>1741</v>
      </c>
      <c r="H542" t="s">
        <v>2364</v>
      </c>
      <c r="I542" t="s">
        <v>2279</v>
      </c>
      <c r="J542" t="s">
        <v>2279</v>
      </c>
      <c r="K542" t="s">
        <v>2279</v>
      </c>
      <c r="L542" t="s">
        <v>2279</v>
      </c>
      <c r="M542" t="s">
        <v>2279</v>
      </c>
      <c r="N542" t="s">
        <v>2279</v>
      </c>
      <c r="O542" s="190" t="str">
        <f>"["&amp;$C542&amp;"]["&amp;$D542&amp;"]["&amp;$F542&amp;"]"</f>
        <v>[S05_CategoryCHighestTierNotApplied][3][SourceStreamAffected]</v>
      </c>
    </row>
    <row r="543" spans="1:15" x14ac:dyDescent="0.3">
      <c r="A543" t="s">
        <v>2277</v>
      </c>
      <c r="B543" t="s">
        <v>1866</v>
      </c>
      <c r="C543" t="s">
        <v>1867</v>
      </c>
      <c r="D543">
        <v>4</v>
      </c>
      <c r="E543" t="s">
        <v>1447</v>
      </c>
      <c r="F543" t="s">
        <v>1869</v>
      </c>
      <c r="G543" t="s">
        <v>1741</v>
      </c>
      <c r="H543" t="s">
        <v>2364</v>
      </c>
      <c r="I543" t="s">
        <v>2279</v>
      </c>
      <c r="J543" t="s">
        <v>2279</v>
      </c>
      <c r="K543" t="s">
        <v>2279</v>
      </c>
      <c r="L543" t="s">
        <v>2279</v>
      </c>
      <c r="M543" t="s">
        <v>2279</v>
      </c>
      <c r="N543" t="s">
        <v>2279</v>
      </c>
      <c r="O543" s="190" t="str">
        <f>"["&amp;$C543&amp;"]["&amp;$D543&amp;"]["&amp;$F543&amp;"]"</f>
        <v>[S05_CategoryCHighestTierNotApplied][4][SourceStreamAffected]</v>
      </c>
    </row>
    <row r="544" spans="1:15" x14ac:dyDescent="0.3">
      <c r="A544" t="s">
        <v>2277</v>
      </c>
      <c r="B544" t="s">
        <v>1866</v>
      </c>
      <c r="C544" t="s">
        <v>1867</v>
      </c>
      <c r="D544">
        <v>5</v>
      </c>
      <c r="E544" t="s">
        <v>1447</v>
      </c>
      <c r="F544" t="s">
        <v>1869</v>
      </c>
      <c r="G544" t="s">
        <v>1741</v>
      </c>
      <c r="H544" t="s">
        <v>2364</v>
      </c>
      <c r="I544" t="s">
        <v>2279</v>
      </c>
      <c r="J544" t="s">
        <v>2279</v>
      </c>
      <c r="K544" t="s">
        <v>2279</v>
      </c>
      <c r="L544" t="s">
        <v>2279</v>
      </c>
      <c r="M544" t="s">
        <v>2279</v>
      </c>
      <c r="N544" t="s">
        <v>2279</v>
      </c>
      <c r="O544" s="190" t="str">
        <f>"["&amp;$C544&amp;"]["&amp;$D544&amp;"]["&amp;$F544&amp;"]"</f>
        <v>[S05_CategoryCHighestTierNotApplied][5][SourceStreamAffected]</v>
      </c>
    </row>
    <row r="545" spans="1:15" x14ac:dyDescent="0.3">
      <c r="A545" t="s">
        <v>2277</v>
      </c>
      <c r="B545" t="s">
        <v>1866</v>
      </c>
      <c r="C545" t="s">
        <v>1867</v>
      </c>
      <c r="D545">
        <v>6</v>
      </c>
      <c r="E545" t="s">
        <v>1447</v>
      </c>
      <c r="F545" t="s">
        <v>1869</v>
      </c>
      <c r="G545" t="s">
        <v>1741</v>
      </c>
      <c r="H545" t="s">
        <v>2364</v>
      </c>
      <c r="I545" t="s">
        <v>2279</v>
      </c>
      <c r="J545" t="s">
        <v>2279</v>
      </c>
      <c r="K545" t="s">
        <v>2279</v>
      </c>
      <c r="L545" t="s">
        <v>2279</v>
      </c>
      <c r="M545" t="s">
        <v>2279</v>
      </c>
      <c r="N545" t="s">
        <v>2279</v>
      </c>
      <c r="O545" s="190" t="str">
        <f>"["&amp;$C545&amp;"]["&amp;$D545&amp;"]["&amp;$F545&amp;"]"</f>
        <v>[S05_CategoryCHighestTierNotApplied][6][SourceStreamAffected]</v>
      </c>
    </row>
    <row r="546" spans="1:15" x14ac:dyDescent="0.3">
      <c r="A546" t="s">
        <v>2277</v>
      </c>
      <c r="B546" t="s">
        <v>1866</v>
      </c>
      <c r="C546" t="s">
        <v>1867</v>
      </c>
      <c r="D546">
        <v>7</v>
      </c>
      <c r="E546" t="s">
        <v>1447</v>
      </c>
      <c r="F546" t="s">
        <v>1869</v>
      </c>
      <c r="G546" t="s">
        <v>1741</v>
      </c>
      <c r="H546" t="s">
        <v>2364</v>
      </c>
      <c r="I546" t="s">
        <v>2279</v>
      </c>
      <c r="J546" t="s">
        <v>2279</v>
      </c>
      <c r="K546" t="s">
        <v>2279</v>
      </c>
      <c r="L546" t="s">
        <v>2279</v>
      </c>
      <c r="M546" t="s">
        <v>2279</v>
      </c>
      <c r="N546" t="s">
        <v>2279</v>
      </c>
      <c r="O546" s="190" t="str">
        <f>"["&amp;$C546&amp;"]["&amp;$D546&amp;"]["&amp;$F546&amp;"]"</f>
        <v>[S05_CategoryCHighestTierNotApplied][7][SourceStreamAffected]</v>
      </c>
    </row>
    <row r="547" spans="1:15" x14ac:dyDescent="0.3">
      <c r="A547" t="s">
        <v>2277</v>
      </c>
      <c r="B547" t="s">
        <v>1866</v>
      </c>
      <c r="C547" t="s">
        <v>1867</v>
      </c>
      <c r="D547">
        <v>8</v>
      </c>
      <c r="E547" t="s">
        <v>1447</v>
      </c>
      <c r="F547" t="s">
        <v>1869</v>
      </c>
      <c r="G547" t="s">
        <v>1741</v>
      </c>
      <c r="H547" t="s">
        <v>2364</v>
      </c>
      <c r="I547" t="s">
        <v>2279</v>
      </c>
      <c r="J547" t="s">
        <v>2279</v>
      </c>
      <c r="K547" t="s">
        <v>2279</v>
      </c>
      <c r="L547" t="s">
        <v>2279</v>
      </c>
      <c r="M547" t="s">
        <v>2279</v>
      </c>
      <c r="N547" t="s">
        <v>2279</v>
      </c>
      <c r="O547" s="190" t="str">
        <f>"["&amp;$C547&amp;"]["&amp;$D547&amp;"]["&amp;$F547&amp;"]"</f>
        <v>[S05_CategoryCHighestTierNotApplied][8][SourceStreamAffected]</v>
      </c>
    </row>
    <row r="548" spans="1:15" x14ac:dyDescent="0.3">
      <c r="A548" t="s">
        <v>2277</v>
      </c>
      <c r="B548" t="s">
        <v>1866</v>
      </c>
      <c r="C548" t="s">
        <v>1867</v>
      </c>
      <c r="D548">
        <v>9</v>
      </c>
      <c r="E548" t="s">
        <v>1447</v>
      </c>
      <c r="F548" t="s">
        <v>1869</v>
      </c>
      <c r="G548" t="s">
        <v>1741</v>
      </c>
      <c r="H548" t="s">
        <v>2364</v>
      </c>
      <c r="I548" t="s">
        <v>2279</v>
      </c>
      <c r="J548" t="s">
        <v>2279</v>
      </c>
      <c r="K548" t="s">
        <v>2279</v>
      </c>
      <c r="L548" t="s">
        <v>2279</v>
      </c>
      <c r="M548" t="s">
        <v>2279</v>
      </c>
      <c r="N548" t="s">
        <v>2279</v>
      </c>
      <c r="O548" s="190" t="str">
        <f>"["&amp;$C548&amp;"]["&amp;$D548&amp;"]["&amp;$F548&amp;"]"</f>
        <v>[S05_CategoryCHighestTierNotApplied][9][SourceStreamAffected]</v>
      </c>
    </row>
    <row r="549" spans="1:15" x14ac:dyDescent="0.3">
      <c r="A549" t="s">
        <v>2277</v>
      </c>
      <c r="B549" t="s">
        <v>1866</v>
      </c>
      <c r="C549" t="s">
        <v>1867</v>
      </c>
      <c r="D549">
        <v>10</v>
      </c>
      <c r="E549" t="s">
        <v>1447</v>
      </c>
      <c r="F549" t="s">
        <v>1869</v>
      </c>
      <c r="G549" t="s">
        <v>1741</v>
      </c>
      <c r="H549" t="s">
        <v>2364</v>
      </c>
      <c r="I549" t="s">
        <v>2279</v>
      </c>
      <c r="J549" t="s">
        <v>2279</v>
      </c>
      <c r="K549" t="s">
        <v>2279</v>
      </c>
      <c r="L549" t="s">
        <v>2279</v>
      </c>
      <c r="M549" t="s">
        <v>2279</v>
      </c>
      <c r="N549" t="s">
        <v>2279</v>
      </c>
      <c r="O549" s="190" t="str">
        <f>"["&amp;$C549&amp;"]["&amp;$D549&amp;"]["&amp;$F549&amp;"]"</f>
        <v>[S05_CategoryCHighestTierNotApplied][10][SourceStreamAffected]</v>
      </c>
    </row>
    <row r="550" spans="1:15" x14ac:dyDescent="0.3">
      <c r="A550" t="s">
        <v>2277</v>
      </c>
      <c r="B550" t="s">
        <v>1866</v>
      </c>
      <c r="C550" t="s">
        <v>1867</v>
      </c>
      <c r="D550">
        <v>11</v>
      </c>
      <c r="E550" t="s">
        <v>1447</v>
      </c>
      <c r="F550" t="s">
        <v>1869</v>
      </c>
      <c r="G550" t="s">
        <v>1741</v>
      </c>
      <c r="H550" t="s">
        <v>2364</v>
      </c>
      <c r="I550" t="s">
        <v>2279</v>
      </c>
      <c r="J550" t="s">
        <v>2279</v>
      </c>
      <c r="K550" t="s">
        <v>2279</v>
      </c>
      <c r="L550" t="s">
        <v>2279</v>
      </c>
      <c r="M550" t="s">
        <v>2279</v>
      </c>
      <c r="N550" t="s">
        <v>2279</v>
      </c>
      <c r="O550" s="190" t="str">
        <f>"["&amp;$C550&amp;"]["&amp;$D550&amp;"]["&amp;$F550&amp;"]"</f>
        <v>[S05_CategoryCHighestTierNotApplied][11][SourceStreamAffected]</v>
      </c>
    </row>
    <row r="551" spans="1:15" x14ac:dyDescent="0.3">
      <c r="A551" t="s">
        <v>2277</v>
      </c>
      <c r="B551" t="s">
        <v>1866</v>
      </c>
      <c r="C551" t="s">
        <v>1867</v>
      </c>
      <c r="D551">
        <v>12</v>
      </c>
      <c r="E551" t="s">
        <v>1447</v>
      </c>
      <c r="F551" t="s">
        <v>1869</v>
      </c>
      <c r="G551" t="s">
        <v>1741</v>
      </c>
      <c r="H551" t="s">
        <v>2364</v>
      </c>
      <c r="I551" t="s">
        <v>2279</v>
      </c>
      <c r="J551" t="s">
        <v>2279</v>
      </c>
      <c r="K551" t="s">
        <v>2279</v>
      </c>
      <c r="L551" t="s">
        <v>2279</v>
      </c>
      <c r="M551" t="s">
        <v>2279</v>
      </c>
      <c r="N551" t="s">
        <v>2279</v>
      </c>
      <c r="O551" s="190" t="str">
        <f>"["&amp;$C551&amp;"]["&amp;$D551&amp;"]["&amp;$F551&amp;"]"</f>
        <v>[S05_CategoryCHighestTierNotApplied][12][SourceStreamAffected]</v>
      </c>
    </row>
    <row r="552" spans="1:15" x14ac:dyDescent="0.3">
      <c r="A552" t="s">
        <v>2277</v>
      </c>
      <c r="B552" t="s">
        <v>1866</v>
      </c>
      <c r="C552" t="s">
        <v>1867</v>
      </c>
      <c r="D552">
        <v>13</v>
      </c>
      <c r="E552" t="s">
        <v>1447</v>
      </c>
      <c r="F552" t="s">
        <v>1869</v>
      </c>
      <c r="G552" t="s">
        <v>1741</v>
      </c>
      <c r="H552" t="s">
        <v>2364</v>
      </c>
      <c r="I552" t="s">
        <v>2279</v>
      </c>
      <c r="J552" t="s">
        <v>2279</v>
      </c>
      <c r="K552" t="s">
        <v>2279</v>
      </c>
      <c r="L552" t="s">
        <v>2279</v>
      </c>
      <c r="M552" t="s">
        <v>2279</v>
      </c>
      <c r="N552" t="s">
        <v>2279</v>
      </c>
      <c r="O552" s="190" t="str">
        <f>"["&amp;$C552&amp;"]["&amp;$D552&amp;"]["&amp;$F552&amp;"]"</f>
        <v>[S05_CategoryCHighestTierNotApplied][13][SourceStreamAffected]</v>
      </c>
    </row>
    <row r="553" spans="1:15" x14ac:dyDescent="0.3">
      <c r="A553" t="s">
        <v>2277</v>
      </c>
      <c r="B553" t="s">
        <v>1866</v>
      </c>
      <c r="C553" t="s">
        <v>1867</v>
      </c>
      <c r="D553">
        <v>14</v>
      </c>
      <c r="E553" t="s">
        <v>1447</v>
      </c>
      <c r="F553" t="s">
        <v>1869</v>
      </c>
      <c r="G553" t="s">
        <v>1741</v>
      </c>
      <c r="H553" t="s">
        <v>2364</v>
      </c>
      <c r="I553" t="s">
        <v>2279</v>
      </c>
      <c r="J553" t="s">
        <v>2279</v>
      </c>
      <c r="K553" t="s">
        <v>2279</v>
      </c>
      <c r="L553" t="s">
        <v>2279</v>
      </c>
      <c r="M553" t="s">
        <v>2279</v>
      </c>
      <c r="N553" t="s">
        <v>2279</v>
      </c>
      <c r="O553" s="190" t="str">
        <f>"["&amp;$C553&amp;"]["&amp;$D553&amp;"]["&amp;$F553&amp;"]"</f>
        <v>[S05_CategoryCHighestTierNotApplied][14][SourceStreamAffected]</v>
      </c>
    </row>
    <row r="554" spans="1:15" x14ac:dyDescent="0.3">
      <c r="A554" t="s">
        <v>2277</v>
      </c>
      <c r="B554" t="s">
        <v>1866</v>
      </c>
      <c r="C554" t="s">
        <v>1867</v>
      </c>
      <c r="D554">
        <v>15</v>
      </c>
      <c r="E554" t="s">
        <v>1447</v>
      </c>
      <c r="F554" t="s">
        <v>1869</v>
      </c>
      <c r="G554" t="s">
        <v>1741</v>
      </c>
      <c r="H554" t="s">
        <v>2364</v>
      </c>
      <c r="I554" t="s">
        <v>2279</v>
      </c>
      <c r="J554" t="s">
        <v>2279</v>
      </c>
      <c r="K554" t="s">
        <v>2279</v>
      </c>
      <c r="L554" t="s">
        <v>2279</v>
      </c>
      <c r="M554" t="s">
        <v>2279</v>
      </c>
      <c r="N554" t="s">
        <v>2279</v>
      </c>
      <c r="O554" s="190" t="str">
        <f>"["&amp;$C554&amp;"]["&amp;$D554&amp;"]["&amp;$F554&amp;"]"</f>
        <v>[S05_CategoryCHighestTierNotApplied][15][SourceStreamAffected]</v>
      </c>
    </row>
    <row r="555" spans="1:15" x14ac:dyDescent="0.3">
      <c r="A555" t="s">
        <v>2277</v>
      </c>
      <c r="B555" t="s">
        <v>1866</v>
      </c>
      <c r="C555" t="s">
        <v>1867</v>
      </c>
      <c r="D555">
        <v>16</v>
      </c>
      <c r="E555" t="s">
        <v>1447</v>
      </c>
      <c r="F555" t="s">
        <v>1869</v>
      </c>
      <c r="G555" t="s">
        <v>1741</v>
      </c>
      <c r="H555" t="s">
        <v>2364</v>
      </c>
      <c r="I555" t="s">
        <v>2279</v>
      </c>
      <c r="J555" t="s">
        <v>2279</v>
      </c>
      <c r="K555" t="s">
        <v>2279</v>
      </c>
      <c r="L555" t="s">
        <v>2279</v>
      </c>
      <c r="M555" t="s">
        <v>2279</v>
      </c>
      <c r="N555" t="s">
        <v>2279</v>
      </c>
      <c r="O555" s="190" t="str">
        <f>"["&amp;$C555&amp;"]["&amp;$D555&amp;"]["&amp;$F555&amp;"]"</f>
        <v>[S05_CategoryCHighestTierNotApplied][16][SourceStreamAffected]</v>
      </c>
    </row>
    <row r="556" spans="1:15" x14ac:dyDescent="0.3">
      <c r="A556" t="s">
        <v>2277</v>
      </c>
      <c r="B556" t="s">
        <v>1866</v>
      </c>
      <c r="C556" t="s">
        <v>1867</v>
      </c>
      <c r="D556">
        <v>1</v>
      </c>
      <c r="E556" t="s">
        <v>1447</v>
      </c>
      <c r="F556" t="s">
        <v>1870</v>
      </c>
      <c r="G556" t="s">
        <v>1741</v>
      </c>
      <c r="H556" t="s">
        <v>2365</v>
      </c>
      <c r="I556" t="s">
        <v>2279</v>
      </c>
      <c r="J556" t="s">
        <v>2279</v>
      </c>
      <c r="K556" t="s">
        <v>2279</v>
      </c>
      <c r="L556" t="s">
        <v>2279</v>
      </c>
      <c r="M556" t="s">
        <v>2279</v>
      </c>
      <c r="N556" t="s">
        <v>2279</v>
      </c>
      <c r="O556" s="190" t="str">
        <f>"["&amp;$C556&amp;"]["&amp;$D556&amp;"]["&amp;$F556&amp;"]"</f>
        <v>[S05_CategoryCHighestTierNotApplied][1][EmissionSourceAffected]</v>
      </c>
    </row>
    <row r="557" spans="1:15" x14ac:dyDescent="0.3">
      <c r="A557" t="s">
        <v>2277</v>
      </c>
      <c r="B557" t="s">
        <v>1866</v>
      </c>
      <c r="C557" t="s">
        <v>1867</v>
      </c>
      <c r="D557">
        <v>2</v>
      </c>
      <c r="E557" t="s">
        <v>1447</v>
      </c>
      <c r="F557" t="s">
        <v>1870</v>
      </c>
      <c r="G557" t="s">
        <v>1741</v>
      </c>
      <c r="H557" t="s">
        <v>2366</v>
      </c>
      <c r="I557" t="s">
        <v>2279</v>
      </c>
      <c r="J557" t="s">
        <v>2279</v>
      </c>
      <c r="K557" t="s">
        <v>2279</v>
      </c>
      <c r="L557" t="s">
        <v>2279</v>
      </c>
      <c r="M557" t="s">
        <v>2279</v>
      </c>
      <c r="N557" t="s">
        <v>2279</v>
      </c>
      <c r="O557" s="190" t="str">
        <f>"["&amp;$C557&amp;"]["&amp;$D557&amp;"]["&amp;$F557&amp;"]"</f>
        <v>[S05_CategoryCHighestTierNotApplied][2][EmissionSourceAffected]</v>
      </c>
    </row>
    <row r="558" spans="1:15" x14ac:dyDescent="0.3">
      <c r="A558" t="s">
        <v>2277</v>
      </c>
      <c r="B558" t="s">
        <v>1866</v>
      </c>
      <c r="C558" t="s">
        <v>1867</v>
      </c>
      <c r="D558">
        <v>3</v>
      </c>
      <c r="E558" t="s">
        <v>1447</v>
      </c>
      <c r="F558" t="s">
        <v>1870</v>
      </c>
      <c r="G558" t="s">
        <v>1741</v>
      </c>
      <c r="H558" t="s">
        <v>2367</v>
      </c>
      <c r="I558" t="s">
        <v>2279</v>
      </c>
      <c r="J558" t="s">
        <v>2279</v>
      </c>
      <c r="K558" t="s">
        <v>2279</v>
      </c>
      <c r="L558" t="s">
        <v>2279</v>
      </c>
      <c r="M558" t="s">
        <v>2279</v>
      </c>
      <c r="N558" t="s">
        <v>2279</v>
      </c>
      <c r="O558" s="190" t="str">
        <f>"["&amp;$C558&amp;"]["&amp;$D558&amp;"]["&amp;$F558&amp;"]"</f>
        <v>[S05_CategoryCHighestTierNotApplied][3][EmissionSourceAffected]</v>
      </c>
    </row>
    <row r="559" spans="1:15" x14ac:dyDescent="0.3">
      <c r="A559" t="s">
        <v>2277</v>
      </c>
      <c r="B559" t="s">
        <v>1866</v>
      </c>
      <c r="C559" t="s">
        <v>1867</v>
      </c>
      <c r="D559">
        <v>4</v>
      </c>
      <c r="E559" t="s">
        <v>1447</v>
      </c>
      <c r="F559" t="s">
        <v>1870</v>
      </c>
      <c r="G559" t="s">
        <v>1741</v>
      </c>
      <c r="H559" t="s">
        <v>2366</v>
      </c>
      <c r="I559" t="s">
        <v>2279</v>
      </c>
      <c r="J559" t="s">
        <v>2279</v>
      </c>
      <c r="K559" t="s">
        <v>2279</v>
      </c>
      <c r="L559" t="s">
        <v>2279</v>
      </c>
      <c r="M559" t="s">
        <v>2279</v>
      </c>
      <c r="N559" t="s">
        <v>2279</v>
      </c>
      <c r="O559" s="190" t="str">
        <f>"["&amp;$C559&amp;"]["&amp;$D559&amp;"]["&amp;$F559&amp;"]"</f>
        <v>[S05_CategoryCHighestTierNotApplied][4][EmissionSourceAffected]</v>
      </c>
    </row>
    <row r="560" spans="1:15" x14ac:dyDescent="0.3">
      <c r="A560" t="s">
        <v>2277</v>
      </c>
      <c r="B560" t="s">
        <v>1866</v>
      </c>
      <c r="C560" t="s">
        <v>1867</v>
      </c>
      <c r="D560">
        <v>5</v>
      </c>
      <c r="E560" t="s">
        <v>1447</v>
      </c>
      <c r="F560" t="s">
        <v>1870</v>
      </c>
      <c r="G560" t="s">
        <v>1741</v>
      </c>
      <c r="H560" t="s">
        <v>2366</v>
      </c>
      <c r="I560" t="s">
        <v>2279</v>
      </c>
      <c r="J560" t="s">
        <v>2279</v>
      </c>
      <c r="K560" t="s">
        <v>2279</v>
      </c>
      <c r="L560" t="s">
        <v>2279</v>
      </c>
      <c r="M560" t="s">
        <v>2279</v>
      </c>
      <c r="N560" t="s">
        <v>2279</v>
      </c>
      <c r="O560" s="190" t="str">
        <f>"["&amp;$C560&amp;"]["&amp;$D560&amp;"]["&amp;$F560&amp;"]"</f>
        <v>[S05_CategoryCHighestTierNotApplied][5][EmissionSourceAffected]</v>
      </c>
    </row>
    <row r="561" spans="1:15" x14ac:dyDescent="0.3">
      <c r="A561" t="s">
        <v>2277</v>
      </c>
      <c r="B561" t="s">
        <v>1866</v>
      </c>
      <c r="C561" t="s">
        <v>1867</v>
      </c>
      <c r="D561">
        <v>6</v>
      </c>
      <c r="E561" t="s">
        <v>1447</v>
      </c>
      <c r="F561" t="s">
        <v>1870</v>
      </c>
      <c r="G561" t="s">
        <v>1741</v>
      </c>
      <c r="H561" t="s">
        <v>2368</v>
      </c>
      <c r="I561" t="s">
        <v>2279</v>
      </c>
      <c r="J561" t="s">
        <v>2279</v>
      </c>
      <c r="K561" t="s">
        <v>2279</v>
      </c>
      <c r="L561" t="s">
        <v>2279</v>
      </c>
      <c r="M561" t="s">
        <v>2279</v>
      </c>
      <c r="N561" t="s">
        <v>2279</v>
      </c>
      <c r="O561" s="190" t="str">
        <f>"["&amp;$C561&amp;"]["&amp;$D561&amp;"]["&amp;$F561&amp;"]"</f>
        <v>[S05_CategoryCHighestTierNotApplied][6][EmissionSourceAffected]</v>
      </c>
    </row>
    <row r="562" spans="1:15" x14ac:dyDescent="0.3">
      <c r="A562" t="s">
        <v>2277</v>
      </c>
      <c r="B562" t="s">
        <v>1866</v>
      </c>
      <c r="C562" t="s">
        <v>1867</v>
      </c>
      <c r="D562">
        <v>7</v>
      </c>
      <c r="E562" t="s">
        <v>1447</v>
      </c>
      <c r="F562" t="s">
        <v>1870</v>
      </c>
      <c r="G562" t="s">
        <v>1741</v>
      </c>
      <c r="H562" t="s">
        <v>2367</v>
      </c>
      <c r="I562" t="s">
        <v>2279</v>
      </c>
      <c r="J562" t="s">
        <v>2279</v>
      </c>
      <c r="K562" t="s">
        <v>2279</v>
      </c>
      <c r="L562" t="s">
        <v>2279</v>
      </c>
      <c r="M562" t="s">
        <v>2279</v>
      </c>
      <c r="N562" t="s">
        <v>2279</v>
      </c>
      <c r="O562" s="190" t="str">
        <f>"["&amp;$C562&amp;"]["&amp;$D562&amp;"]["&amp;$F562&amp;"]"</f>
        <v>[S05_CategoryCHighestTierNotApplied][7][EmissionSourceAffected]</v>
      </c>
    </row>
    <row r="563" spans="1:15" x14ac:dyDescent="0.3">
      <c r="A563" t="s">
        <v>2277</v>
      </c>
      <c r="B563" t="s">
        <v>1866</v>
      </c>
      <c r="C563" t="s">
        <v>1867</v>
      </c>
      <c r="D563">
        <v>8</v>
      </c>
      <c r="E563" t="s">
        <v>1447</v>
      </c>
      <c r="F563" t="s">
        <v>1870</v>
      </c>
      <c r="G563" t="s">
        <v>1741</v>
      </c>
      <c r="H563" t="s">
        <v>2369</v>
      </c>
      <c r="I563" t="s">
        <v>2279</v>
      </c>
      <c r="J563" t="s">
        <v>2279</v>
      </c>
      <c r="K563" t="s">
        <v>2279</v>
      </c>
      <c r="L563" t="s">
        <v>2279</v>
      </c>
      <c r="M563" t="s">
        <v>2279</v>
      </c>
      <c r="N563" t="s">
        <v>2279</v>
      </c>
      <c r="O563" s="190" t="str">
        <f>"["&amp;$C563&amp;"]["&amp;$D563&amp;"]["&amp;$F563&amp;"]"</f>
        <v>[S05_CategoryCHighestTierNotApplied][8][EmissionSourceAffected]</v>
      </c>
    </row>
    <row r="564" spans="1:15" x14ac:dyDescent="0.3">
      <c r="A564" t="s">
        <v>2277</v>
      </c>
      <c r="B564" t="s">
        <v>1866</v>
      </c>
      <c r="C564" t="s">
        <v>1867</v>
      </c>
      <c r="D564">
        <v>9</v>
      </c>
      <c r="E564" t="s">
        <v>1447</v>
      </c>
      <c r="F564" t="s">
        <v>1870</v>
      </c>
      <c r="G564" t="s">
        <v>1741</v>
      </c>
      <c r="H564" t="s">
        <v>2370</v>
      </c>
      <c r="I564" t="s">
        <v>2279</v>
      </c>
      <c r="J564" t="s">
        <v>2279</v>
      </c>
      <c r="K564" t="s">
        <v>2279</v>
      </c>
      <c r="L564" t="s">
        <v>2279</v>
      </c>
      <c r="M564" t="s">
        <v>2279</v>
      </c>
      <c r="N564" t="s">
        <v>2279</v>
      </c>
      <c r="O564" s="190" t="str">
        <f>"["&amp;$C564&amp;"]["&amp;$D564&amp;"]["&amp;$F564&amp;"]"</f>
        <v>[S05_CategoryCHighestTierNotApplied][9][EmissionSourceAffected]</v>
      </c>
    </row>
    <row r="565" spans="1:15" x14ac:dyDescent="0.3">
      <c r="A565" t="s">
        <v>2277</v>
      </c>
      <c r="B565" t="s">
        <v>1866</v>
      </c>
      <c r="C565" t="s">
        <v>1867</v>
      </c>
      <c r="D565">
        <v>10</v>
      </c>
      <c r="E565" t="s">
        <v>1447</v>
      </c>
      <c r="F565" t="s">
        <v>1870</v>
      </c>
      <c r="G565" t="s">
        <v>1741</v>
      </c>
      <c r="H565" t="s">
        <v>2369</v>
      </c>
      <c r="I565" t="s">
        <v>2279</v>
      </c>
      <c r="J565" t="s">
        <v>2279</v>
      </c>
      <c r="K565" t="s">
        <v>2279</v>
      </c>
      <c r="L565" t="s">
        <v>2279</v>
      </c>
      <c r="M565" t="s">
        <v>2279</v>
      </c>
      <c r="N565" t="s">
        <v>2279</v>
      </c>
      <c r="O565" s="190" t="str">
        <f>"["&amp;$C565&amp;"]["&amp;$D565&amp;"]["&amp;$F565&amp;"]"</f>
        <v>[S05_CategoryCHighestTierNotApplied][10][EmissionSourceAffected]</v>
      </c>
    </row>
    <row r="566" spans="1:15" x14ac:dyDescent="0.3">
      <c r="A566" t="s">
        <v>2277</v>
      </c>
      <c r="B566" t="s">
        <v>1866</v>
      </c>
      <c r="C566" t="s">
        <v>1867</v>
      </c>
      <c r="D566">
        <v>11</v>
      </c>
      <c r="E566" t="s">
        <v>1447</v>
      </c>
      <c r="F566" t="s">
        <v>1870</v>
      </c>
      <c r="G566" t="s">
        <v>1741</v>
      </c>
      <c r="H566" t="s">
        <v>2371</v>
      </c>
      <c r="I566" t="s">
        <v>2279</v>
      </c>
      <c r="J566" t="s">
        <v>2279</v>
      </c>
      <c r="K566" t="s">
        <v>2279</v>
      </c>
      <c r="L566" t="s">
        <v>2279</v>
      </c>
      <c r="M566" t="s">
        <v>2279</v>
      </c>
      <c r="N566" t="s">
        <v>2279</v>
      </c>
      <c r="O566" s="190" t="str">
        <f>"["&amp;$C566&amp;"]["&amp;$D566&amp;"]["&amp;$F566&amp;"]"</f>
        <v>[S05_CategoryCHighestTierNotApplied][11][EmissionSourceAffected]</v>
      </c>
    </row>
    <row r="567" spans="1:15" x14ac:dyDescent="0.3">
      <c r="A567" t="s">
        <v>2277</v>
      </c>
      <c r="B567" t="s">
        <v>1866</v>
      </c>
      <c r="C567" t="s">
        <v>1867</v>
      </c>
      <c r="D567">
        <v>12</v>
      </c>
      <c r="E567" t="s">
        <v>1447</v>
      </c>
      <c r="F567" t="s">
        <v>1870</v>
      </c>
      <c r="G567" t="s">
        <v>1741</v>
      </c>
      <c r="H567" t="s">
        <v>2370</v>
      </c>
      <c r="I567" t="s">
        <v>2279</v>
      </c>
      <c r="J567" t="s">
        <v>2279</v>
      </c>
      <c r="K567" t="s">
        <v>2279</v>
      </c>
      <c r="L567" t="s">
        <v>2279</v>
      </c>
      <c r="M567" t="s">
        <v>2279</v>
      </c>
      <c r="N567" t="s">
        <v>2279</v>
      </c>
      <c r="O567" s="190" t="str">
        <f>"["&amp;$C567&amp;"]["&amp;$D567&amp;"]["&amp;$F567&amp;"]"</f>
        <v>[S05_CategoryCHighestTierNotApplied][12][EmissionSourceAffected]</v>
      </c>
    </row>
    <row r="568" spans="1:15" x14ac:dyDescent="0.3">
      <c r="A568" t="s">
        <v>2277</v>
      </c>
      <c r="B568" t="s">
        <v>1866</v>
      </c>
      <c r="C568" t="s">
        <v>1867</v>
      </c>
      <c r="D568">
        <v>13</v>
      </c>
      <c r="E568" t="s">
        <v>1447</v>
      </c>
      <c r="F568" t="s">
        <v>1870</v>
      </c>
      <c r="G568" t="s">
        <v>1741</v>
      </c>
      <c r="H568" t="s">
        <v>2368</v>
      </c>
      <c r="I568" t="s">
        <v>2279</v>
      </c>
      <c r="J568" t="s">
        <v>2279</v>
      </c>
      <c r="K568" t="s">
        <v>2279</v>
      </c>
      <c r="L568" t="s">
        <v>2279</v>
      </c>
      <c r="M568" t="s">
        <v>2279</v>
      </c>
      <c r="N568" t="s">
        <v>2279</v>
      </c>
      <c r="O568" s="190" t="str">
        <f>"["&amp;$C568&amp;"]["&amp;$D568&amp;"]["&amp;$F568&amp;"]"</f>
        <v>[S05_CategoryCHighestTierNotApplied][13][EmissionSourceAffected]</v>
      </c>
    </row>
    <row r="569" spans="1:15" x14ac:dyDescent="0.3">
      <c r="A569" t="s">
        <v>2277</v>
      </c>
      <c r="B569" t="s">
        <v>1866</v>
      </c>
      <c r="C569" t="s">
        <v>1867</v>
      </c>
      <c r="D569">
        <v>14</v>
      </c>
      <c r="E569" t="s">
        <v>1447</v>
      </c>
      <c r="F569" t="s">
        <v>1870</v>
      </c>
      <c r="G569" t="s">
        <v>1741</v>
      </c>
      <c r="H569" t="s">
        <v>2367</v>
      </c>
      <c r="I569" t="s">
        <v>2279</v>
      </c>
      <c r="J569" t="s">
        <v>2279</v>
      </c>
      <c r="K569" t="s">
        <v>2279</v>
      </c>
      <c r="L569" t="s">
        <v>2279</v>
      </c>
      <c r="M569" t="s">
        <v>2279</v>
      </c>
      <c r="N569" t="s">
        <v>2279</v>
      </c>
      <c r="O569" s="190" t="str">
        <f>"["&amp;$C569&amp;"]["&amp;$D569&amp;"]["&amp;$F569&amp;"]"</f>
        <v>[S05_CategoryCHighestTierNotApplied][14][EmissionSourceAffected]</v>
      </c>
    </row>
    <row r="570" spans="1:15" x14ac:dyDescent="0.3">
      <c r="A570" t="s">
        <v>2277</v>
      </c>
      <c r="B570" t="s">
        <v>1866</v>
      </c>
      <c r="C570" t="s">
        <v>1867</v>
      </c>
      <c r="D570">
        <v>15</v>
      </c>
      <c r="E570" t="s">
        <v>1447</v>
      </c>
      <c r="F570" t="s">
        <v>1870</v>
      </c>
      <c r="G570" t="s">
        <v>1741</v>
      </c>
      <c r="H570" t="s">
        <v>2367</v>
      </c>
      <c r="I570" t="s">
        <v>2279</v>
      </c>
      <c r="J570" t="s">
        <v>2279</v>
      </c>
      <c r="K570" t="s">
        <v>2279</v>
      </c>
      <c r="L570" t="s">
        <v>2279</v>
      </c>
      <c r="M570" t="s">
        <v>2279</v>
      </c>
      <c r="N570" t="s">
        <v>2279</v>
      </c>
      <c r="O570" s="190" t="str">
        <f>"["&amp;$C570&amp;"]["&amp;$D570&amp;"]["&amp;$F570&amp;"]"</f>
        <v>[S05_CategoryCHighestTierNotApplied][15][EmissionSourceAffected]</v>
      </c>
    </row>
    <row r="571" spans="1:15" x14ac:dyDescent="0.3">
      <c r="A571" t="s">
        <v>2277</v>
      </c>
      <c r="B571" t="s">
        <v>1866</v>
      </c>
      <c r="C571" t="s">
        <v>1867</v>
      </c>
      <c r="D571">
        <v>16</v>
      </c>
      <c r="E571" t="s">
        <v>1447</v>
      </c>
      <c r="F571" t="s">
        <v>1870</v>
      </c>
      <c r="G571" t="s">
        <v>1741</v>
      </c>
      <c r="H571" t="s">
        <v>2368</v>
      </c>
      <c r="I571" t="s">
        <v>2279</v>
      </c>
      <c r="J571" t="s">
        <v>2279</v>
      </c>
      <c r="K571" t="s">
        <v>2279</v>
      </c>
      <c r="L571" t="s">
        <v>2279</v>
      </c>
      <c r="M571" t="s">
        <v>2279</v>
      </c>
      <c r="N571" t="s">
        <v>2279</v>
      </c>
      <c r="O571" s="190" t="str">
        <f>"["&amp;$C571&amp;"]["&amp;$D571&amp;"]["&amp;$F571&amp;"]"</f>
        <v>[S05_CategoryCHighestTierNotApplied][16][EmissionSourceAffected]</v>
      </c>
    </row>
    <row r="572" spans="1:15" x14ac:dyDescent="0.3">
      <c r="A572" t="s">
        <v>2277</v>
      </c>
      <c r="B572" t="s">
        <v>1866</v>
      </c>
      <c r="C572" t="s">
        <v>1867</v>
      </c>
      <c r="D572">
        <v>1</v>
      </c>
      <c r="E572" t="s">
        <v>1447</v>
      </c>
      <c r="F572" t="s">
        <v>1871</v>
      </c>
      <c r="G572" t="s">
        <v>1737</v>
      </c>
      <c r="H572" t="s">
        <v>2279</v>
      </c>
      <c r="I572" t="s">
        <v>2279</v>
      </c>
      <c r="J572" t="s">
        <v>2279</v>
      </c>
      <c r="K572" t="s">
        <v>2279</v>
      </c>
      <c r="L572" t="s">
        <v>1565</v>
      </c>
      <c r="M572" t="s">
        <v>2279</v>
      </c>
      <c r="N572" t="s">
        <v>2279</v>
      </c>
      <c r="O572" s="190" t="str">
        <f>"["&amp;$C572&amp;"]["&amp;$D572&amp;"]["&amp;$F572&amp;"]"</f>
        <v>[S05_CategoryCHighestTierNotApplied][1][MonitoringParameterAffected]</v>
      </c>
    </row>
    <row r="573" spans="1:15" x14ac:dyDescent="0.3">
      <c r="A573" t="s">
        <v>2277</v>
      </c>
      <c r="B573" t="s">
        <v>1866</v>
      </c>
      <c r="C573" t="s">
        <v>1867</v>
      </c>
      <c r="D573">
        <v>2</v>
      </c>
      <c r="E573" t="s">
        <v>1447</v>
      </c>
      <c r="F573" t="s">
        <v>1871</v>
      </c>
      <c r="G573" t="s">
        <v>1737</v>
      </c>
      <c r="H573" t="s">
        <v>2279</v>
      </c>
      <c r="I573" t="s">
        <v>2279</v>
      </c>
      <c r="J573" t="s">
        <v>2279</v>
      </c>
      <c r="K573" t="s">
        <v>2279</v>
      </c>
      <c r="L573" t="s">
        <v>1565</v>
      </c>
      <c r="M573" t="s">
        <v>2279</v>
      </c>
      <c r="N573" t="s">
        <v>2279</v>
      </c>
      <c r="O573" s="190" t="str">
        <f>"["&amp;$C573&amp;"]["&amp;$D573&amp;"]["&amp;$F573&amp;"]"</f>
        <v>[S05_CategoryCHighestTierNotApplied][2][MonitoringParameterAffected]</v>
      </c>
    </row>
    <row r="574" spans="1:15" x14ac:dyDescent="0.3">
      <c r="A574" t="s">
        <v>2277</v>
      </c>
      <c r="B574" t="s">
        <v>1866</v>
      </c>
      <c r="C574" t="s">
        <v>1867</v>
      </c>
      <c r="D574">
        <v>3</v>
      </c>
      <c r="E574" t="s">
        <v>1447</v>
      </c>
      <c r="F574" t="s">
        <v>1871</v>
      </c>
      <c r="G574" t="s">
        <v>1737</v>
      </c>
      <c r="H574" t="s">
        <v>2279</v>
      </c>
      <c r="I574" t="s">
        <v>2279</v>
      </c>
      <c r="J574" t="s">
        <v>2279</v>
      </c>
      <c r="K574" t="s">
        <v>2279</v>
      </c>
      <c r="L574" t="s">
        <v>1565</v>
      </c>
      <c r="M574" t="s">
        <v>2279</v>
      </c>
      <c r="N574" t="s">
        <v>2279</v>
      </c>
      <c r="O574" s="190" t="str">
        <f>"["&amp;$C574&amp;"]["&amp;$D574&amp;"]["&amp;$F574&amp;"]"</f>
        <v>[S05_CategoryCHighestTierNotApplied][3][MonitoringParameterAffected]</v>
      </c>
    </row>
    <row r="575" spans="1:15" x14ac:dyDescent="0.3">
      <c r="A575" t="s">
        <v>2277</v>
      </c>
      <c r="B575" t="s">
        <v>1866</v>
      </c>
      <c r="C575" t="s">
        <v>1867</v>
      </c>
      <c r="D575">
        <v>4</v>
      </c>
      <c r="E575" t="s">
        <v>1447</v>
      </c>
      <c r="F575" t="s">
        <v>1871</v>
      </c>
      <c r="G575" t="s">
        <v>1737</v>
      </c>
      <c r="H575" t="s">
        <v>2279</v>
      </c>
      <c r="I575" t="s">
        <v>2279</v>
      </c>
      <c r="J575" t="s">
        <v>2279</v>
      </c>
      <c r="K575" t="s">
        <v>2279</v>
      </c>
      <c r="L575" t="s">
        <v>1565</v>
      </c>
      <c r="M575" t="s">
        <v>2279</v>
      </c>
      <c r="N575" t="s">
        <v>2279</v>
      </c>
      <c r="O575" s="190" t="str">
        <f>"["&amp;$C575&amp;"]["&amp;$D575&amp;"]["&amp;$F575&amp;"]"</f>
        <v>[S05_CategoryCHighestTierNotApplied][4][MonitoringParameterAffected]</v>
      </c>
    </row>
    <row r="576" spans="1:15" x14ac:dyDescent="0.3">
      <c r="A576" t="s">
        <v>2277</v>
      </c>
      <c r="B576" t="s">
        <v>1866</v>
      </c>
      <c r="C576" t="s">
        <v>1867</v>
      </c>
      <c r="D576">
        <v>5</v>
      </c>
      <c r="E576" t="s">
        <v>1447</v>
      </c>
      <c r="F576" t="s">
        <v>1871</v>
      </c>
      <c r="G576" t="s">
        <v>1737</v>
      </c>
      <c r="H576" t="s">
        <v>2279</v>
      </c>
      <c r="I576" t="s">
        <v>2279</v>
      </c>
      <c r="J576" t="s">
        <v>2279</v>
      </c>
      <c r="K576" t="s">
        <v>2279</v>
      </c>
      <c r="L576" t="s">
        <v>1565</v>
      </c>
      <c r="M576" t="s">
        <v>2279</v>
      </c>
      <c r="N576" t="s">
        <v>2279</v>
      </c>
      <c r="O576" s="190" t="str">
        <f>"["&amp;$C576&amp;"]["&amp;$D576&amp;"]["&amp;$F576&amp;"]"</f>
        <v>[S05_CategoryCHighestTierNotApplied][5][MonitoringParameterAffected]</v>
      </c>
    </row>
    <row r="577" spans="1:15" x14ac:dyDescent="0.3">
      <c r="A577" t="s">
        <v>2277</v>
      </c>
      <c r="B577" t="s">
        <v>1866</v>
      </c>
      <c r="C577" t="s">
        <v>1867</v>
      </c>
      <c r="D577">
        <v>6</v>
      </c>
      <c r="E577" t="s">
        <v>1447</v>
      </c>
      <c r="F577" t="s">
        <v>1871</v>
      </c>
      <c r="G577" t="s">
        <v>1737</v>
      </c>
      <c r="H577" t="s">
        <v>2279</v>
      </c>
      <c r="I577" t="s">
        <v>2279</v>
      </c>
      <c r="J577" t="s">
        <v>2279</v>
      </c>
      <c r="K577" t="s">
        <v>2279</v>
      </c>
      <c r="L577" t="s">
        <v>1565</v>
      </c>
      <c r="M577" t="s">
        <v>2279</v>
      </c>
      <c r="N577" t="s">
        <v>2279</v>
      </c>
      <c r="O577" s="190" t="str">
        <f>"["&amp;$C577&amp;"]["&amp;$D577&amp;"]["&amp;$F577&amp;"]"</f>
        <v>[S05_CategoryCHighestTierNotApplied][6][MonitoringParameterAffected]</v>
      </c>
    </row>
    <row r="578" spans="1:15" x14ac:dyDescent="0.3">
      <c r="A578" t="s">
        <v>2277</v>
      </c>
      <c r="B578" t="s">
        <v>1866</v>
      </c>
      <c r="C578" t="s">
        <v>1867</v>
      </c>
      <c r="D578">
        <v>7</v>
      </c>
      <c r="E578" t="s">
        <v>1447</v>
      </c>
      <c r="F578" t="s">
        <v>1871</v>
      </c>
      <c r="G578" t="s">
        <v>1737</v>
      </c>
      <c r="H578" t="s">
        <v>2279</v>
      </c>
      <c r="I578" t="s">
        <v>2279</v>
      </c>
      <c r="J578" t="s">
        <v>2279</v>
      </c>
      <c r="K578" t="s">
        <v>2279</v>
      </c>
      <c r="L578" t="s">
        <v>1565</v>
      </c>
      <c r="M578" t="s">
        <v>2279</v>
      </c>
      <c r="N578" t="s">
        <v>2279</v>
      </c>
      <c r="O578" s="190" t="str">
        <f>"["&amp;$C578&amp;"]["&amp;$D578&amp;"]["&amp;$F578&amp;"]"</f>
        <v>[S05_CategoryCHighestTierNotApplied][7][MonitoringParameterAffected]</v>
      </c>
    </row>
    <row r="579" spans="1:15" x14ac:dyDescent="0.3">
      <c r="A579" t="s">
        <v>2277</v>
      </c>
      <c r="B579" t="s">
        <v>1866</v>
      </c>
      <c r="C579" t="s">
        <v>1867</v>
      </c>
      <c r="D579">
        <v>8</v>
      </c>
      <c r="E579" t="s">
        <v>1447</v>
      </c>
      <c r="F579" t="s">
        <v>1871</v>
      </c>
      <c r="G579" t="s">
        <v>1737</v>
      </c>
      <c r="H579" t="s">
        <v>2279</v>
      </c>
      <c r="I579" t="s">
        <v>2279</v>
      </c>
      <c r="J579" t="s">
        <v>2279</v>
      </c>
      <c r="K579" t="s">
        <v>2279</v>
      </c>
      <c r="L579" t="s">
        <v>1565</v>
      </c>
      <c r="M579" t="s">
        <v>2279</v>
      </c>
      <c r="N579" t="s">
        <v>2279</v>
      </c>
      <c r="O579" s="190" t="str">
        <f>"["&amp;$C579&amp;"]["&amp;$D579&amp;"]["&amp;$F579&amp;"]"</f>
        <v>[S05_CategoryCHighestTierNotApplied][8][MonitoringParameterAffected]</v>
      </c>
    </row>
    <row r="580" spans="1:15" x14ac:dyDescent="0.3">
      <c r="A580" t="s">
        <v>2277</v>
      </c>
      <c r="B580" t="s">
        <v>1866</v>
      </c>
      <c r="C580" t="s">
        <v>1867</v>
      </c>
      <c r="D580">
        <v>9</v>
      </c>
      <c r="E580" t="s">
        <v>1447</v>
      </c>
      <c r="F580" t="s">
        <v>1871</v>
      </c>
      <c r="G580" t="s">
        <v>1737</v>
      </c>
      <c r="H580" t="s">
        <v>2279</v>
      </c>
      <c r="I580" t="s">
        <v>2279</v>
      </c>
      <c r="J580" t="s">
        <v>2279</v>
      </c>
      <c r="K580" t="s">
        <v>2279</v>
      </c>
      <c r="L580" t="s">
        <v>1565</v>
      </c>
      <c r="M580" t="s">
        <v>2279</v>
      </c>
      <c r="N580" t="s">
        <v>2279</v>
      </c>
      <c r="O580" s="190" t="str">
        <f>"["&amp;$C580&amp;"]["&amp;$D580&amp;"]["&amp;$F580&amp;"]"</f>
        <v>[S05_CategoryCHighestTierNotApplied][9][MonitoringParameterAffected]</v>
      </c>
    </row>
    <row r="581" spans="1:15" x14ac:dyDescent="0.3">
      <c r="A581" t="s">
        <v>2277</v>
      </c>
      <c r="B581" t="s">
        <v>1866</v>
      </c>
      <c r="C581" t="s">
        <v>1867</v>
      </c>
      <c r="D581">
        <v>10</v>
      </c>
      <c r="E581" t="s">
        <v>1447</v>
      </c>
      <c r="F581" t="s">
        <v>1871</v>
      </c>
      <c r="G581" t="s">
        <v>1737</v>
      </c>
      <c r="H581" t="s">
        <v>2279</v>
      </c>
      <c r="I581" t="s">
        <v>2279</v>
      </c>
      <c r="J581" t="s">
        <v>2279</v>
      </c>
      <c r="K581" t="s">
        <v>2279</v>
      </c>
      <c r="L581" t="s">
        <v>1565</v>
      </c>
      <c r="M581" t="s">
        <v>2279</v>
      </c>
      <c r="N581" t="s">
        <v>2279</v>
      </c>
      <c r="O581" s="190" t="str">
        <f>"["&amp;$C581&amp;"]["&amp;$D581&amp;"]["&amp;$F581&amp;"]"</f>
        <v>[S05_CategoryCHighestTierNotApplied][10][MonitoringParameterAffected]</v>
      </c>
    </row>
    <row r="582" spans="1:15" x14ac:dyDescent="0.3">
      <c r="A582" t="s">
        <v>2277</v>
      </c>
      <c r="B582" t="s">
        <v>1866</v>
      </c>
      <c r="C582" t="s">
        <v>1867</v>
      </c>
      <c r="D582">
        <v>11</v>
      </c>
      <c r="E582" t="s">
        <v>1447</v>
      </c>
      <c r="F582" t="s">
        <v>1871</v>
      </c>
      <c r="G582" t="s">
        <v>1737</v>
      </c>
      <c r="H582" t="s">
        <v>2279</v>
      </c>
      <c r="I582" t="s">
        <v>2279</v>
      </c>
      <c r="J582" t="s">
        <v>2279</v>
      </c>
      <c r="K582" t="s">
        <v>2279</v>
      </c>
      <c r="L582" t="s">
        <v>1565</v>
      </c>
      <c r="M582" t="s">
        <v>2279</v>
      </c>
      <c r="N582" t="s">
        <v>2279</v>
      </c>
      <c r="O582" s="190" t="str">
        <f>"["&amp;$C582&amp;"]["&amp;$D582&amp;"]["&amp;$F582&amp;"]"</f>
        <v>[S05_CategoryCHighestTierNotApplied][11][MonitoringParameterAffected]</v>
      </c>
    </row>
    <row r="583" spans="1:15" x14ac:dyDescent="0.3">
      <c r="A583" t="s">
        <v>2277</v>
      </c>
      <c r="B583" t="s">
        <v>1866</v>
      </c>
      <c r="C583" t="s">
        <v>1867</v>
      </c>
      <c r="D583">
        <v>12</v>
      </c>
      <c r="E583" t="s">
        <v>1447</v>
      </c>
      <c r="F583" t="s">
        <v>1871</v>
      </c>
      <c r="G583" t="s">
        <v>1737</v>
      </c>
      <c r="H583" t="s">
        <v>2279</v>
      </c>
      <c r="I583" t="s">
        <v>2279</v>
      </c>
      <c r="J583" t="s">
        <v>2279</v>
      </c>
      <c r="K583" t="s">
        <v>2279</v>
      </c>
      <c r="L583" t="s">
        <v>1565</v>
      </c>
      <c r="M583" t="s">
        <v>2279</v>
      </c>
      <c r="N583" t="s">
        <v>2279</v>
      </c>
      <c r="O583" s="190" t="str">
        <f>"["&amp;$C583&amp;"]["&amp;$D583&amp;"]["&amp;$F583&amp;"]"</f>
        <v>[S05_CategoryCHighestTierNotApplied][12][MonitoringParameterAffected]</v>
      </c>
    </row>
    <row r="584" spans="1:15" x14ac:dyDescent="0.3">
      <c r="A584" t="s">
        <v>2277</v>
      </c>
      <c r="B584" t="s">
        <v>1866</v>
      </c>
      <c r="C584" t="s">
        <v>1867</v>
      </c>
      <c r="D584">
        <v>13</v>
      </c>
      <c r="E584" t="s">
        <v>1447</v>
      </c>
      <c r="F584" t="s">
        <v>1871</v>
      </c>
      <c r="G584" t="s">
        <v>1737</v>
      </c>
      <c r="H584" t="s">
        <v>2279</v>
      </c>
      <c r="I584" t="s">
        <v>2279</v>
      </c>
      <c r="J584" t="s">
        <v>2279</v>
      </c>
      <c r="K584" t="s">
        <v>2279</v>
      </c>
      <c r="L584" t="s">
        <v>1565</v>
      </c>
      <c r="M584" t="s">
        <v>2279</v>
      </c>
      <c r="N584" t="s">
        <v>2279</v>
      </c>
      <c r="O584" s="190" t="str">
        <f>"["&amp;$C584&amp;"]["&amp;$D584&amp;"]["&amp;$F584&amp;"]"</f>
        <v>[S05_CategoryCHighestTierNotApplied][13][MonitoringParameterAffected]</v>
      </c>
    </row>
    <row r="585" spans="1:15" x14ac:dyDescent="0.3">
      <c r="A585" t="s">
        <v>2277</v>
      </c>
      <c r="B585" t="s">
        <v>1866</v>
      </c>
      <c r="C585" t="s">
        <v>1867</v>
      </c>
      <c r="D585">
        <v>14</v>
      </c>
      <c r="E585" t="s">
        <v>1447</v>
      </c>
      <c r="F585" t="s">
        <v>1871</v>
      </c>
      <c r="G585" t="s">
        <v>1737</v>
      </c>
      <c r="H585" t="s">
        <v>2279</v>
      </c>
      <c r="I585" t="s">
        <v>2279</v>
      </c>
      <c r="J585" t="s">
        <v>2279</v>
      </c>
      <c r="K585" t="s">
        <v>2279</v>
      </c>
      <c r="L585" t="s">
        <v>1565</v>
      </c>
      <c r="M585" t="s">
        <v>2279</v>
      </c>
      <c r="N585" t="s">
        <v>2279</v>
      </c>
      <c r="O585" s="190" t="str">
        <f>"["&amp;$C585&amp;"]["&amp;$D585&amp;"]["&amp;$F585&amp;"]"</f>
        <v>[S05_CategoryCHighestTierNotApplied][14][MonitoringParameterAffected]</v>
      </c>
    </row>
    <row r="586" spans="1:15" x14ac:dyDescent="0.3">
      <c r="A586" t="s">
        <v>2277</v>
      </c>
      <c r="B586" t="s">
        <v>1866</v>
      </c>
      <c r="C586" t="s">
        <v>1867</v>
      </c>
      <c r="D586">
        <v>15</v>
      </c>
      <c r="E586" t="s">
        <v>1447</v>
      </c>
      <c r="F586" t="s">
        <v>1871</v>
      </c>
      <c r="G586" t="s">
        <v>1737</v>
      </c>
      <c r="H586" t="s">
        <v>2279</v>
      </c>
      <c r="I586" t="s">
        <v>2279</v>
      </c>
      <c r="J586" t="s">
        <v>2279</v>
      </c>
      <c r="K586" t="s">
        <v>2279</v>
      </c>
      <c r="L586" t="s">
        <v>1565</v>
      </c>
      <c r="M586" t="s">
        <v>2279</v>
      </c>
      <c r="N586" t="s">
        <v>2279</v>
      </c>
      <c r="O586" s="190" t="str">
        <f>"["&amp;$C586&amp;"]["&amp;$D586&amp;"]["&amp;$F586&amp;"]"</f>
        <v>[S05_CategoryCHighestTierNotApplied][15][MonitoringParameterAffected]</v>
      </c>
    </row>
    <row r="587" spans="1:15" x14ac:dyDescent="0.3">
      <c r="A587" t="s">
        <v>2277</v>
      </c>
      <c r="B587" t="s">
        <v>1866</v>
      </c>
      <c r="C587" t="s">
        <v>1867</v>
      </c>
      <c r="D587">
        <v>16</v>
      </c>
      <c r="E587" t="s">
        <v>1447</v>
      </c>
      <c r="F587" t="s">
        <v>1871</v>
      </c>
      <c r="G587" t="s">
        <v>1737</v>
      </c>
      <c r="H587" t="s">
        <v>2279</v>
      </c>
      <c r="I587" t="s">
        <v>2279</v>
      </c>
      <c r="J587" t="s">
        <v>2279</v>
      </c>
      <c r="K587" t="s">
        <v>2279</v>
      </c>
      <c r="L587" t="s">
        <v>1565</v>
      </c>
      <c r="M587" t="s">
        <v>2279</v>
      </c>
      <c r="N587" t="s">
        <v>2279</v>
      </c>
      <c r="O587" s="190" t="str">
        <f>"["&amp;$C587&amp;"]["&amp;$D587&amp;"]["&amp;$F587&amp;"]"</f>
        <v>[S05_CategoryCHighestTierNotApplied][16][MonitoringParameterAffected]</v>
      </c>
    </row>
    <row r="588" spans="1:15" x14ac:dyDescent="0.3">
      <c r="A588" t="s">
        <v>2277</v>
      </c>
      <c r="B588" t="s">
        <v>1866</v>
      </c>
      <c r="C588" t="s">
        <v>1867</v>
      </c>
      <c r="D588">
        <v>1</v>
      </c>
      <c r="E588" t="s">
        <v>1447</v>
      </c>
      <c r="F588" t="s">
        <v>1872</v>
      </c>
      <c r="G588" t="s">
        <v>1737</v>
      </c>
      <c r="H588" t="s">
        <v>2279</v>
      </c>
      <c r="I588" t="s">
        <v>2279</v>
      </c>
      <c r="J588" t="s">
        <v>2279</v>
      </c>
      <c r="K588" t="s">
        <v>2279</v>
      </c>
      <c r="L588" t="s">
        <v>1544</v>
      </c>
      <c r="M588" t="s">
        <v>2279</v>
      </c>
      <c r="N588" t="s">
        <v>2279</v>
      </c>
      <c r="O588" s="190" t="str">
        <f>"["&amp;$C588&amp;"]["&amp;$D588&amp;"]["&amp;$F588&amp;"]"</f>
        <v>[S05_CategoryCHighestTierNotApplied][1][HighestTierRequired]</v>
      </c>
    </row>
    <row r="589" spans="1:15" x14ac:dyDescent="0.3">
      <c r="A589" t="s">
        <v>2277</v>
      </c>
      <c r="B589" t="s">
        <v>1866</v>
      </c>
      <c r="C589" t="s">
        <v>1867</v>
      </c>
      <c r="D589">
        <v>2</v>
      </c>
      <c r="E589" t="s">
        <v>1447</v>
      </c>
      <c r="F589" t="s">
        <v>1872</v>
      </c>
      <c r="G589" t="s">
        <v>1737</v>
      </c>
      <c r="H589" t="s">
        <v>2279</v>
      </c>
      <c r="I589" t="s">
        <v>2279</v>
      </c>
      <c r="J589" t="s">
        <v>2279</v>
      </c>
      <c r="K589" t="s">
        <v>2279</v>
      </c>
      <c r="L589" t="s">
        <v>1544</v>
      </c>
      <c r="M589" t="s">
        <v>2279</v>
      </c>
      <c r="N589" t="s">
        <v>2279</v>
      </c>
      <c r="O589" s="190" t="str">
        <f>"["&amp;$C589&amp;"]["&amp;$D589&amp;"]["&amp;$F589&amp;"]"</f>
        <v>[S05_CategoryCHighestTierNotApplied][2][HighestTierRequired]</v>
      </c>
    </row>
    <row r="590" spans="1:15" x14ac:dyDescent="0.3">
      <c r="A590" t="s">
        <v>2277</v>
      </c>
      <c r="B590" t="s">
        <v>1866</v>
      </c>
      <c r="C590" t="s">
        <v>1867</v>
      </c>
      <c r="D590">
        <v>3</v>
      </c>
      <c r="E590" t="s">
        <v>1447</v>
      </c>
      <c r="F590" t="s">
        <v>1872</v>
      </c>
      <c r="G590" t="s">
        <v>1737</v>
      </c>
      <c r="H590" t="s">
        <v>2279</v>
      </c>
      <c r="I590" t="s">
        <v>2279</v>
      </c>
      <c r="J590" t="s">
        <v>2279</v>
      </c>
      <c r="K590" t="s">
        <v>2279</v>
      </c>
      <c r="L590" t="s">
        <v>1544</v>
      </c>
      <c r="M590" t="s">
        <v>2279</v>
      </c>
      <c r="N590" t="s">
        <v>2279</v>
      </c>
      <c r="O590" s="190" t="str">
        <f>"["&amp;$C590&amp;"]["&amp;$D590&amp;"]["&amp;$F590&amp;"]"</f>
        <v>[S05_CategoryCHighestTierNotApplied][3][HighestTierRequired]</v>
      </c>
    </row>
    <row r="591" spans="1:15" x14ac:dyDescent="0.3">
      <c r="A591" t="s">
        <v>2277</v>
      </c>
      <c r="B591" t="s">
        <v>1866</v>
      </c>
      <c r="C591" t="s">
        <v>1867</v>
      </c>
      <c r="D591">
        <v>4</v>
      </c>
      <c r="E591" t="s">
        <v>1447</v>
      </c>
      <c r="F591" t="s">
        <v>1872</v>
      </c>
      <c r="G591" t="s">
        <v>1737</v>
      </c>
      <c r="H591" t="s">
        <v>2279</v>
      </c>
      <c r="I591" t="s">
        <v>2279</v>
      </c>
      <c r="J591" t="s">
        <v>2279</v>
      </c>
      <c r="K591" t="s">
        <v>2279</v>
      </c>
      <c r="L591" t="s">
        <v>1544</v>
      </c>
      <c r="M591" t="s">
        <v>2279</v>
      </c>
      <c r="N591" t="s">
        <v>2279</v>
      </c>
      <c r="O591" s="190" t="str">
        <f>"["&amp;$C591&amp;"]["&amp;$D591&amp;"]["&amp;$F591&amp;"]"</f>
        <v>[S05_CategoryCHighestTierNotApplied][4][HighestTierRequired]</v>
      </c>
    </row>
    <row r="592" spans="1:15" x14ac:dyDescent="0.3">
      <c r="A592" t="s">
        <v>2277</v>
      </c>
      <c r="B592" t="s">
        <v>1866</v>
      </c>
      <c r="C592" t="s">
        <v>1867</v>
      </c>
      <c r="D592">
        <v>5</v>
      </c>
      <c r="E592" t="s">
        <v>1447</v>
      </c>
      <c r="F592" t="s">
        <v>1872</v>
      </c>
      <c r="G592" t="s">
        <v>1737</v>
      </c>
      <c r="H592" t="s">
        <v>2279</v>
      </c>
      <c r="I592" t="s">
        <v>2279</v>
      </c>
      <c r="J592" t="s">
        <v>2279</v>
      </c>
      <c r="K592" t="s">
        <v>2279</v>
      </c>
      <c r="L592" t="s">
        <v>1544</v>
      </c>
      <c r="M592" t="s">
        <v>2279</v>
      </c>
      <c r="N592" t="s">
        <v>2279</v>
      </c>
      <c r="O592" s="190" t="str">
        <f>"["&amp;$C592&amp;"]["&amp;$D592&amp;"]["&amp;$F592&amp;"]"</f>
        <v>[S05_CategoryCHighestTierNotApplied][5][HighestTierRequired]</v>
      </c>
    </row>
    <row r="593" spans="1:15" x14ac:dyDescent="0.3">
      <c r="A593" t="s">
        <v>2277</v>
      </c>
      <c r="B593" t="s">
        <v>1866</v>
      </c>
      <c r="C593" t="s">
        <v>1867</v>
      </c>
      <c r="D593">
        <v>6</v>
      </c>
      <c r="E593" t="s">
        <v>1447</v>
      </c>
      <c r="F593" t="s">
        <v>1872</v>
      </c>
      <c r="G593" t="s">
        <v>1737</v>
      </c>
      <c r="H593" t="s">
        <v>2279</v>
      </c>
      <c r="I593" t="s">
        <v>2279</v>
      </c>
      <c r="J593" t="s">
        <v>2279</v>
      </c>
      <c r="K593" t="s">
        <v>2279</v>
      </c>
      <c r="L593" t="s">
        <v>1544</v>
      </c>
      <c r="M593" t="s">
        <v>2279</v>
      </c>
      <c r="N593" t="s">
        <v>2279</v>
      </c>
      <c r="O593" s="190" t="str">
        <f>"["&amp;$C593&amp;"]["&amp;$D593&amp;"]["&amp;$F593&amp;"]"</f>
        <v>[S05_CategoryCHighestTierNotApplied][6][HighestTierRequired]</v>
      </c>
    </row>
    <row r="594" spans="1:15" x14ac:dyDescent="0.3">
      <c r="A594" t="s">
        <v>2277</v>
      </c>
      <c r="B594" t="s">
        <v>1866</v>
      </c>
      <c r="C594" t="s">
        <v>1867</v>
      </c>
      <c r="D594">
        <v>7</v>
      </c>
      <c r="E594" t="s">
        <v>1447</v>
      </c>
      <c r="F594" t="s">
        <v>1872</v>
      </c>
      <c r="G594" t="s">
        <v>1737</v>
      </c>
      <c r="H594" t="s">
        <v>2279</v>
      </c>
      <c r="I594" t="s">
        <v>2279</v>
      </c>
      <c r="J594" t="s">
        <v>2279</v>
      </c>
      <c r="K594" t="s">
        <v>2279</v>
      </c>
      <c r="L594" t="s">
        <v>1544</v>
      </c>
      <c r="M594" t="s">
        <v>2279</v>
      </c>
      <c r="N594" t="s">
        <v>2279</v>
      </c>
      <c r="O594" s="190" t="str">
        <f>"["&amp;$C594&amp;"]["&amp;$D594&amp;"]["&amp;$F594&amp;"]"</f>
        <v>[S05_CategoryCHighestTierNotApplied][7][HighestTierRequired]</v>
      </c>
    </row>
    <row r="595" spans="1:15" x14ac:dyDescent="0.3">
      <c r="A595" t="s">
        <v>2277</v>
      </c>
      <c r="B595" t="s">
        <v>1866</v>
      </c>
      <c r="C595" t="s">
        <v>1867</v>
      </c>
      <c r="D595">
        <v>8</v>
      </c>
      <c r="E595" t="s">
        <v>1447</v>
      </c>
      <c r="F595" t="s">
        <v>1872</v>
      </c>
      <c r="G595" t="s">
        <v>1737</v>
      </c>
      <c r="H595" t="s">
        <v>2279</v>
      </c>
      <c r="I595" t="s">
        <v>2279</v>
      </c>
      <c r="J595" t="s">
        <v>2279</v>
      </c>
      <c r="K595" t="s">
        <v>2279</v>
      </c>
      <c r="L595" t="s">
        <v>1544</v>
      </c>
      <c r="M595" t="s">
        <v>2279</v>
      </c>
      <c r="N595" t="s">
        <v>2279</v>
      </c>
      <c r="O595" s="190" t="str">
        <f>"["&amp;$C595&amp;"]["&amp;$D595&amp;"]["&amp;$F595&amp;"]"</f>
        <v>[S05_CategoryCHighestTierNotApplied][8][HighestTierRequired]</v>
      </c>
    </row>
    <row r="596" spans="1:15" x14ac:dyDescent="0.3">
      <c r="A596" t="s">
        <v>2277</v>
      </c>
      <c r="B596" t="s">
        <v>1866</v>
      </c>
      <c r="C596" t="s">
        <v>1867</v>
      </c>
      <c r="D596">
        <v>9</v>
      </c>
      <c r="E596" t="s">
        <v>1447</v>
      </c>
      <c r="F596" t="s">
        <v>1872</v>
      </c>
      <c r="G596" t="s">
        <v>1737</v>
      </c>
      <c r="H596" t="s">
        <v>2279</v>
      </c>
      <c r="I596" t="s">
        <v>2279</v>
      </c>
      <c r="J596" t="s">
        <v>2279</v>
      </c>
      <c r="K596" t="s">
        <v>2279</v>
      </c>
      <c r="L596" t="s">
        <v>1544</v>
      </c>
      <c r="M596" t="s">
        <v>2279</v>
      </c>
      <c r="N596" t="s">
        <v>2279</v>
      </c>
      <c r="O596" s="190" t="str">
        <f>"["&amp;$C596&amp;"]["&amp;$D596&amp;"]["&amp;$F596&amp;"]"</f>
        <v>[S05_CategoryCHighestTierNotApplied][9][HighestTierRequired]</v>
      </c>
    </row>
    <row r="597" spans="1:15" x14ac:dyDescent="0.3">
      <c r="A597" t="s">
        <v>2277</v>
      </c>
      <c r="B597" t="s">
        <v>1866</v>
      </c>
      <c r="C597" t="s">
        <v>1867</v>
      </c>
      <c r="D597">
        <v>10</v>
      </c>
      <c r="E597" t="s">
        <v>1447</v>
      </c>
      <c r="F597" t="s">
        <v>1872</v>
      </c>
      <c r="G597" t="s">
        <v>1737</v>
      </c>
      <c r="H597" t="s">
        <v>2279</v>
      </c>
      <c r="I597" t="s">
        <v>2279</v>
      </c>
      <c r="J597" t="s">
        <v>2279</v>
      </c>
      <c r="K597" t="s">
        <v>2279</v>
      </c>
      <c r="L597" t="s">
        <v>1544</v>
      </c>
      <c r="M597" t="s">
        <v>2279</v>
      </c>
      <c r="N597" t="s">
        <v>2279</v>
      </c>
      <c r="O597" s="190" t="str">
        <f>"["&amp;$C597&amp;"]["&amp;$D597&amp;"]["&amp;$F597&amp;"]"</f>
        <v>[S05_CategoryCHighestTierNotApplied][10][HighestTierRequired]</v>
      </c>
    </row>
    <row r="598" spans="1:15" x14ac:dyDescent="0.3">
      <c r="A598" t="s">
        <v>2277</v>
      </c>
      <c r="B598" t="s">
        <v>1866</v>
      </c>
      <c r="C598" t="s">
        <v>1867</v>
      </c>
      <c r="D598">
        <v>11</v>
      </c>
      <c r="E598" t="s">
        <v>1447</v>
      </c>
      <c r="F598" t="s">
        <v>1872</v>
      </c>
      <c r="G598" t="s">
        <v>1737</v>
      </c>
      <c r="H598" t="s">
        <v>2279</v>
      </c>
      <c r="I598" t="s">
        <v>2279</v>
      </c>
      <c r="J598" t="s">
        <v>2279</v>
      </c>
      <c r="K598" t="s">
        <v>2279</v>
      </c>
      <c r="L598" t="s">
        <v>1544</v>
      </c>
      <c r="M598" t="s">
        <v>2279</v>
      </c>
      <c r="N598" t="s">
        <v>2279</v>
      </c>
      <c r="O598" s="190" t="str">
        <f>"["&amp;$C598&amp;"]["&amp;$D598&amp;"]["&amp;$F598&amp;"]"</f>
        <v>[S05_CategoryCHighestTierNotApplied][11][HighestTierRequired]</v>
      </c>
    </row>
    <row r="599" spans="1:15" x14ac:dyDescent="0.3">
      <c r="A599" t="s">
        <v>2277</v>
      </c>
      <c r="B599" t="s">
        <v>1866</v>
      </c>
      <c r="C599" t="s">
        <v>1867</v>
      </c>
      <c r="D599">
        <v>12</v>
      </c>
      <c r="E599" t="s">
        <v>1447</v>
      </c>
      <c r="F599" t="s">
        <v>1872</v>
      </c>
      <c r="G599" t="s">
        <v>1737</v>
      </c>
      <c r="H599" t="s">
        <v>2279</v>
      </c>
      <c r="I599" t="s">
        <v>2279</v>
      </c>
      <c r="J599" t="s">
        <v>2279</v>
      </c>
      <c r="K599" t="s">
        <v>2279</v>
      </c>
      <c r="L599" t="s">
        <v>1544</v>
      </c>
      <c r="M599" t="s">
        <v>2279</v>
      </c>
      <c r="N599" t="s">
        <v>2279</v>
      </c>
      <c r="O599" s="190" t="str">
        <f>"["&amp;$C599&amp;"]["&amp;$D599&amp;"]["&amp;$F599&amp;"]"</f>
        <v>[S05_CategoryCHighestTierNotApplied][12][HighestTierRequired]</v>
      </c>
    </row>
    <row r="600" spans="1:15" x14ac:dyDescent="0.3">
      <c r="A600" t="s">
        <v>2277</v>
      </c>
      <c r="B600" t="s">
        <v>1866</v>
      </c>
      <c r="C600" t="s">
        <v>1867</v>
      </c>
      <c r="D600">
        <v>13</v>
      </c>
      <c r="E600" t="s">
        <v>1447</v>
      </c>
      <c r="F600" t="s">
        <v>1872</v>
      </c>
      <c r="G600" t="s">
        <v>1737</v>
      </c>
      <c r="H600" t="s">
        <v>2279</v>
      </c>
      <c r="I600" t="s">
        <v>2279</v>
      </c>
      <c r="J600" t="s">
        <v>2279</v>
      </c>
      <c r="K600" t="s">
        <v>2279</v>
      </c>
      <c r="L600" t="s">
        <v>1544</v>
      </c>
      <c r="M600" t="s">
        <v>2279</v>
      </c>
      <c r="N600" t="s">
        <v>2279</v>
      </c>
      <c r="O600" s="190" t="str">
        <f>"["&amp;$C600&amp;"]["&amp;$D600&amp;"]["&amp;$F600&amp;"]"</f>
        <v>[S05_CategoryCHighestTierNotApplied][13][HighestTierRequired]</v>
      </c>
    </row>
    <row r="601" spans="1:15" x14ac:dyDescent="0.3">
      <c r="A601" t="s">
        <v>2277</v>
      </c>
      <c r="B601" t="s">
        <v>1866</v>
      </c>
      <c r="C601" t="s">
        <v>1867</v>
      </c>
      <c r="D601">
        <v>14</v>
      </c>
      <c r="E601" t="s">
        <v>1447</v>
      </c>
      <c r="F601" t="s">
        <v>1872</v>
      </c>
      <c r="G601" t="s">
        <v>1737</v>
      </c>
      <c r="H601" t="s">
        <v>2279</v>
      </c>
      <c r="I601" t="s">
        <v>2279</v>
      </c>
      <c r="J601" t="s">
        <v>2279</v>
      </c>
      <c r="K601" t="s">
        <v>2279</v>
      </c>
      <c r="L601" t="s">
        <v>1544</v>
      </c>
      <c r="M601" t="s">
        <v>2279</v>
      </c>
      <c r="N601" t="s">
        <v>2279</v>
      </c>
      <c r="O601" s="190" t="str">
        <f>"["&amp;$C601&amp;"]["&amp;$D601&amp;"]["&amp;$F601&amp;"]"</f>
        <v>[S05_CategoryCHighestTierNotApplied][14][HighestTierRequired]</v>
      </c>
    </row>
    <row r="602" spans="1:15" x14ac:dyDescent="0.3">
      <c r="A602" t="s">
        <v>2277</v>
      </c>
      <c r="B602" t="s">
        <v>1866</v>
      </c>
      <c r="C602" t="s">
        <v>1867</v>
      </c>
      <c r="D602">
        <v>15</v>
      </c>
      <c r="E602" t="s">
        <v>1447</v>
      </c>
      <c r="F602" t="s">
        <v>1872</v>
      </c>
      <c r="G602" t="s">
        <v>1737</v>
      </c>
      <c r="H602" t="s">
        <v>2279</v>
      </c>
      <c r="I602" t="s">
        <v>2279</v>
      </c>
      <c r="J602" t="s">
        <v>2279</v>
      </c>
      <c r="K602" t="s">
        <v>2279</v>
      </c>
      <c r="L602" t="s">
        <v>1544</v>
      </c>
      <c r="M602" t="s">
        <v>2279</v>
      </c>
      <c r="N602" t="s">
        <v>2279</v>
      </c>
      <c r="O602" s="190" t="str">
        <f>"["&amp;$C602&amp;"]["&amp;$D602&amp;"]["&amp;$F602&amp;"]"</f>
        <v>[S05_CategoryCHighestTierNotApplied][15][HighestTierRequired]</v>
      </c>
    </row>
    <row r="603" spans="1:15" x14ac:dyDescent="0.3">
      <c r="A603" t="s">
        <v>2277</v>
      </c>
      <c r="B603" t="s">
        <v>1866</v>
      </c>
      <c r="C603" t="s">
        <v>1867</v>
      </c>
      <c r="D603">
        <v>16</v>
      </c>
      <c r="E603" t="s">
        <v>1447</v>
      </c>
      <c r="F603" t="s">
        <v>1872</v>
      </c>
      <c r="G603" t="s">
        <v>1737</v>
      </c>
      <c r="H603" t="s">
        <v>2279</v>
      </c>
      <c r="I603" t="s">
        <v>2279</v>
      </c>
      <c r="J603" t="s">
        <v>2279</v>
      </c>
      <c r="K603" t="s">
        <v>2279</v>
      </c>
      <c r="L603" t="s">
        <v>1544</v>
      </c>
      <c r="M603" t="s">
        <v>2279</v>
      </c>
      <c r="N603" t="s">
        <v>2279</v>
      </c>
      <c r="O603" s="190" t="str">
        <f>"["&amp;$C603&amp;"]["&amp;$D603&amp;"]["&amp;$F603&amp;"]"</f>
        <v>[S05_CategoryCHighestTierNotApplied][16][HighestTierRequired]</v>
      </c>
    </row>
    <row r="604" spans="1:15" x14ac:dyDescent="0.3">
      <c r="A604" t="s">
        <v>2277</v>
      </c>
      <c r="B604" t="s">
        <v>1866</v>
      </c>
      <c r="C604" t="s">
        <v>1867</v>
      </c>
      <c r="D604">
        <v>1</v>
      </c>
      <c r="E604" t="s">
        <v>1447</v>
      </c>
      <c r="F604" t="s">
        <v>1873</v>
      </c>
      <c r="G604" t="s">
        <v>1737</v>
      </c>
      <c r="H604" t="s">
        <v>2279</v>
      </c>
      <c r="I604" t="s">
        <v>2279</v>
      </c>
      <c r="J604" t="s">
        <v>2279</v>
      </c>
      <c r="K604" t="s">
        <v>2279</v>
      </c>
      <c r="L604" t="s">
        <v>1534</v>
      </c>
      <c r="M604" t="s">
        <v>2279</v>
      </c>
      <c r="N604" t="s">
        <v>2279</v>
      </c>
      <c r="O604" s="190" t="str">
        <f>"["&amp;$C604&amp;"]["&amp;$D604&amp;"]["&amp;$F604&amp;"]"</f>
        <v>[S05_CategoryCHighestTierNotApplied][1][TierInPractice]</v>
      </c>
    </row>
    <row r="605" spans="1:15" x14ac:dyDescent="0.3">
      <c r="A605" t="s">
        <v>2277</v>
      </c>
      <c r="B605" t="s">
        <v>1866</v>
      </c>
      <c r="C605" t="s">
        <v>1867</v>
      </c>
      <c r="D605">
        <v>2</v>
      </c>
      <c r="E605" t="s">
        <v>1447</v>
      </c>
      <c r="F605" t="s">
        <v>1873</v>
      </c>
      <c r="G605" t="s">
        <v>1737</v>
      </c>
      <c r="H605" t="s">
        <v>2279</v>
      </c>
      <c r="I605" t="s">
        <v>2279</v>
      </c>
      <c r="J605" t="s">
        <v>2279</v>
      </c>
      <c r="K605" t="s">
        <v>2279</v>
      </c>
      <c r="L605" t="s">
        <v>1534</v>
      </c>
      <c r="M605" t="s">
        <v>2279</v>
      </c>
      <c r="N605" t="s">
        <v>2279</v>
      </c>
      <c r="O605" s="190" t="str">
        <f>"["&amp;$C605&amp;"]["&amp;$D605&amp;"]["&amp;$F605&amp;"]"</f>
        <v>[S05_CategoryCHighestTierNotApplied][2][TierInPractice]</v>
      </c>
    </row>
    <row r="606" spans="1:15" x14ac:dyDescent="0.3">
      <c r="A606" t="s">
        <v>2277</v>
      </c>
      <c r="B606" t="s">
        <v>1866</v>
      </c>
      <c r="C606" t="s">
        <v>1867</v>
      </c>
      <c r="D606">
        <v>3</v>
      </c>
      <c r="E606" t="s">
        <v>1447</v>
      </c>
      <c r="F606" t="s">
        <v>1873</v>
      </c>
      <c r="G606" t="s">
        <v>1737</v>
      </c>
      <c r="H606" t="s">
        <v>2279</v>
      </c>
      <c r="I606" t="s">
        <v>2279</v>
      </c>
      <c r="J606" t="s">
        <v>2279</v>
      </c>
      <c r="K606" t="s">
        <v>2279</v>
      </c>
      <c r="L606" t="s">
        <v>1534</v>
      </c>
      <c r="M606" t="s">
        <v>2279</v>
      </c>
      <c r="N606" t="s">
        <v>2279</v>
      </c>
      <c r="O606" s="190" t="str">
        <f>"["&amp;$C606&amp;"]["&amp;$D606&amp;"]["&amp;$F606&amp;"]"</f>
        <v>[S05_CategoryCHighestTierNotApplied][3][TierInPractice]</v>
      </c>
    </row>
    <row r="607" spans="1:15" x14ac:dyDescent="0.3">
      <c r="A607" t="s">
        <v>2277</v>
      </c>
      <c r="B607" t="s">
        <v>1866</v>
      </c>
      <c r="C607" t="s">
        <v>1867</v>
      </c>
      <c r="D607">
        <v>4</v>
      </c>
      <c r="E607" t="s">
        <v>1447</v>
      </c>
      <c r="F607" t="s">
        <v>1873</v>
      </c>
      <c r="G607" t="s">
        <v>1737</v>
      </c>
      <c r="H607" t="s">
        <v>2279</v>
      </c>
      <c r="I607" t="s">
        <v>2279</v>
      </c>
      <c r="J607" t="s">
        <v>2279</v>
      </c>
      <c r="K607" t="s">
        <v>2279</v>
      </c>
      <c r="L607" t="s">
        <v>1534</v>
      </c>
      <c r="M607" t="s">
        <v>2279</v>
      </c>
      <c r="N607" t="s">
        <v>2279</v>
      </c>
      <c r="O607" s="190" t="str">
        <f>"["&amp;$C607&amp;"]["&amp;$D607&amp;"]["&amp;$F607&amp;"]"</f>
        <v>[S05_CategoryCHighestTierNotApplied][4][TierInPractice]</v>
      </c>
    </row>
    <row r="608" spans="1:15" x14ac:dyDescent="0.3">
      <c r="A608" t="s">
        <v>2277</v>
      </c>
      <c r="B608" t="s">
        <v>1866</v>
      </c>
      <c r="C608" t="s">
        <v>1867</v>
      </c>
      <c r="D608">
        <v>5</v>
      </c>
      <c r="E608" t="s">
        <v>1447</v>
      </c>
      <c r="F608" t="s">
        <v>1873</v>
      </c>
      <c r="G608" t="s">
        <v>1737</v>
      </c>
      <c r="H608" t="s">
        <v>2279</v>
      </c>
      <c r="I608" t="s">
        <v>2279</v>
      </c>
      <c r="J608" t="s">
        <v>2279</v>
      </c>
      <c r="K608" t="s">
        <v>2279</v>
      </c>
      <c r="L608" t="s">
        <v>1534</v>
      </c>
      <c r="M608" t="s">
        <v>2279</v>
      </c>
      <c r="N608" t="s">
        <v>2279</v>
      </c>
      <c r="O608" s="190" t="str">
        <f>"["&amp;$C608&amp;"]["&amp;$D608&amp;"]["&amp;$F608&amp;"]"</f>
        <v>[S05_CategoryCHighestTierNotApplied][5][TierInPractice]</v>
      </c>
    </row>
    <row r="609" spans="1:15" x14ac:dyDescent="0.3">
      <c r="A609" t="s">
        <v>2277</v>
      </c>
      <c r="B609" t="s">
        <v>1866</v>
      </c>
      <c r="C609" t="s">
        <v>1867</v>
      </c>
      <c r="D609">
        <v>6</v>
      </c>
      <c r="E609" t="s">
        <v>1447</v>
      </c>
      <c r="F609" t="s">
        <v>1873</v>
      </c>
      <c r="G609" t="s">
        <v>1737</v>
      </c>
      <c r="H609" t="s">
        <v>2279</v>
      </c>
      <c r="I609" t="s">
        <v>2279</v>
      </c>
      <c r="J609" t="s">
        <v>2279</v>
      </c>
      <c r="K609" t="s">
        <v>2279</v>
      </c>
      <c r="L609" t="s">
        <v>1534</v>
      </c>
      <c r="M609" t="s">
        <v>2279</v>
      </c>
      <c r="N609" t="s">
        <v>2279</v>
      </c>
      <c r="O609" s="190" t="str">
        <f>"["&amp;$C609&amp;"]["&amp;$D609&amp;"]["&amp;$F609&amp;"]"</f>
        <v>[S05_CategoryCHighestTierNotApplied][6][TierInPractice]</v>
      </c>
    </row>
    <row r="610" spans="1:15" x14ac:dyDescent="0.3">
      <c r="A610" t="s">
        <v>2277</v>
      </c>
      <c r="B610" t="s">
        <v>1866</v>
      </c>
      <c r="C610" t="s">
        <v>1867</v>
      </c>
      <c r="D610">
        <v>7</v>
      </c>
      <c r="E610" t="s">
        <v>1447</v>
      </c>
      <c r="F610" t="s">
        <v>1873</v>
      </c>
      <c r="G610" t="s">
        <v>1737</v>
      </c>
      <c r="H610" t="s">
        <v>2279</v>
      </c>
      <c r="I610" t="s">
        <v>2279</v>
      </c>
      <c r="J610" t="s">
        <v>2279</v>
      </c>
      <c r="K610" t="s">
        <v>2279</v>
      </c>
      <c r="L610" t="s">
        <v>1534</v>
      </c>
      <c r="M610" t="s">
        <v>2279</v>
      </c>
      <c r="N610" t="s">
        <v>2279</v>
      </c>
      <c r="O610" s="190" t="str">
        <f>"["&amp;$C610&amp;"]["&amp;$D610&amp;"]["&amp;$F610&amp;"]"</f>
        <v>[S05_CategoryCHighestTierNotApplied][7][TierInPractice]</v>
      </c>
    </row>
    <row r="611" spans="1:15" x14ac:dyDescent="0.3">
      <c r="A611" t="s">
        <v>2277</v>
      </c>
      <c r="B611" t="s">
        <v>1866</v>
      </c>
      <c r="C611" t="s">
        <v>1867</v>
      </c>
      <c r="D611">
        <v>8</v>
      </c>
      <c r="E611" t="s">
        <v>1447</v>
      </c>
      <c r="F611" t="s">
        <v>1873</v>
      </c>
      <c r="G611" t="s">
        <v>1737</v>
      </c>
      <c r="H611" t="s">
        <v>2279</v>
      </c>
      <c r="I611" t="s">
        <v>2279</v>
      </c>
      <c r="J611" t="s">
        <v>2279</v>
      </c>
      <c r="K611" t="s">
        <v>2279</v>
      </c>
      <c r="L611" t="s">
        <v>1534</v>
      </c>
      <c r="M611" t="s">
        <v>2279</v>
      </c>
      <c r="N611" t="s">
        <v>2279</v>
      </c>
      <c r="O611" s="190" t="str">
        <f>"["&amp;$C611&amp;"]["&amp;$D611&amp;"]["&amp;$F611&amp;"]"</f>
        <v>[S05_CategoryCHighestTierNotApplied][8][TierInPractice]</v>
      </c>
    </row>
    <row r="612" spans="1:15" x14ac:dyDescent="0.3">
      <c r="A612" t="s">
        <v>2277</v>
      </c>
      <c r="B612" t="s">
        <v>1866</v>
      </c>
      <c r="C612" t="s">
        <v>1867</v>
      </c>
      <c r="D612">
        <v>9</v>
      </c>
      <c r="E612" t="s">
        <v>1447</v>
      </c>
      <c r="F612" t="s">
        <v>1873</v>
      </c>
      <c r="G612" t="s">
        <v>1737</v>
      </c>
      <c r="H612" t="s">
        <v>2279</v>
      </c>
      <c r="I612" t="s">
        <v>2279</v>
      </c>
      <c r="J612" t="s">
        <v>2279</v>
      </c>
      <c r="K612" t="s">
        <v>2279</v>
      </c>
      <c r="L612" t="s">
        <v>1534</v>
      </c>
      <c r="M612" t="s">
        <v>2279</v>
      </c>
      <c r="N612" t="s">
        <v>2279</v>
      </c>
      <c r="O612" s="190" t="str">
        <f>"["&amp;$C612&amp;"]["&amp;$D612&amp;"]["&amp;$F612&amp;"]"</f>
        <v>[S05_CategoryCHighestTierNotApplied][9][TierInPractice]</v>
      </c>
    </row>
    <row r="613" spans="1:15" x14ac:dyDescent="0.3">
      <c r="A613" t="s">
        <v>2277</v>
      </c>
      <c r="B613" t="s">
        <v>1866</v>
      </c>
      <c r="C613" t="s">
        <v>1867</v>
      </c>
      <c r="D613">
        <v>10</v>
      </c>
      <c r="E613" t="s">
        <v>1447</v>
      </c>
      <c r="F613" t="s">
        <v>1873</v>
      </c>
      <c r="G613" t="s">
        <v>1737</v>
      </c>
      <c r="H613" t="s">
        <v>2279</v>
      </c>
      <c r="I613" t="s">
        <v>2279</v>
      </c>
      <c r="J613" t="s">
        <v>2279</v>
      </c>
      <c r="K613" t="s">
        <v>2279</v>
      </c>
      <c r="L613" t="s">
        <v>1534</v>
      </c>
      <c r="M613" t="s">
        <v>2279</v>
      </c>
      <c r="N613" t="s">
        <v>2279</v>
      </c>
      <c r="O613" s="190" t="str">
        <f>"["&amp;$C613&amp;"]["&amp;$D613&amp;"]["&amp;$F613&amp;"]"</f>
        <v>[S05_CategoryCHighestTierNotApplied][10][TierInPractice]</v>
      </c>
    </row>
    <row r="614" spans="1:15" x14ac:dyDescent="0.3">
      <c r="A614" t="s">
        <v>2277</v>
      </c>
      <c r="B614" t="s">
        <v>1866</v>
      </c>
      <c r="C614" t="s">
        <v>1867</v>
      </c>
      <c r="D614">
        <v>11</v>
      </c>
      <c r="E614" t="s">
        <v>1447</v>
      </c>
      <c r="F614" t="s">
        <v>1873</v>
      </c>
      <c r="G614" t="s">
        <v>1737</v>
      </c>
      <c r="H614" t="s">
        <v>2279</v>
      </c>
      <c r="I614" t="s">
        <v>2279</v>
      </c>
      <c r="J614" t="s">
        <v>2279</v>
      </c>
      <c r="K614" t="s">
        <v>2279</v>
      </c>
      <c r="L614" t="s">
        <v>1534</v>
      </c>
      <c r="M614" t="s">
        <v>2279</v>
      </c>
      <c r="N614" t="s">
        <v>2279</v>
      </c>
      <c r="O614" s="190" t="str">
        <f>"["&amp;$C614&amp;"]["&amp;$D614&amp;"]["&amp;$F614&amp;"]"</f>
        <v>[S05_CategoryCHighestTierNotApplied][11][TierInPractice]</v>
      </c>
    </row>
    <row r="615" spans="1:15" x14ac:dyDescent="0.3">
      <c r="A615" t="s">
        <v>2277</v>
      </c>
      <c r="B615" t="s">
        <v>1866</v>
      </c>
      <c r="C615" t="s">
        <v>1867</v>
      </c>
      <c r="D615">
        <v>12</v>
      </c>
      <c r="E615" t="s">
        <v>1447</v>
      </c>
      <c r="F615" t="s">
        <v>1873</v>
      </c>
      <c r="G615" t="s">
        <v>1737</v>
      </c>
      <c r="H615" t="s">
        <v>2279</v>
      </c>
      <c r="I615" t="s">
        <v>2279</v>
      </c>
      <c r="J615" t="s">
        <v>2279</v>
      </c>
      <c r="K615" t="s">
        <v>2279</v>
      </c>
      <c r="L615" t="s">
        <v>1534</v>
      </c>
      <c r="M615" t="s">
        <v>2279</v>
      </c>
      <c r="N615" t="s">
        <v>2279</v>
      </c>
      <c r="O615" s="190" t="str">
        <f>"["&amp;$C615&amp;"]["&amp;$D615&amp;"]["&amp;$F615&amp;"]"</f>
        <v>[S05_CategoryCHighestTierNotApplied][12][TierInPractice]</v>
      </c>
    </row>
    <row r="616" spans="1:15" x14ac:dyDescent="0.3">
      <c r="A616" t="s">
        <v>2277</v>
      </c>
      <c r="B616" t="s">
        <v>1866</v>
      </c>
      <c r="C616" t="s">
        <v>1867</v>
      </c>
      <c r="D616">
        <v>13</v>
      </c>
      <c r="E616" t="s">
        <v>1447</v>
      </c>
      <c r="F616" t="s">
        <v>1873</v>
      </c>
      <c r="G616" t="s">
        <v>1737</v>
      </c>
      <c r="H616" t="s">
        <v>2279</v>
      </c>
      <c r="I616" t="s">
        <v>2279</v>
      </c>
      <c r="J616" t="s">
        <v>2279</v>
      </c>
      <c r="K616" t="s">
        <v>2279</v>
      </c>
      <c r="L616" t="s">
        <v>1534</v>
      </c>
      <c r="M616" t="s">
        <v>2279</v>
      </c>
      <c r="N616" t="s">
        <v>2279</v>
      </c>
      <c r="O616" s="190" t="str">
        <f>"["&amp;$C616&amp;"]["&amp;$D616&amp;"]["&amp;$F616&amp;"]"</f>
        <v>[S05_CategoryCHighestTierNotApplied][13][TierInPractice]</v>
      </c>
    </row>
    <row r="617" spans="1:15" x14ac:dyDescent="0.3">
      <c r="A617" t="s">
        <v>2277</v>
      </c>
      <c r="B617" t="s">
        <v>1866</v>
      </c>
      <c r="C617" t="s">
        <v>1867</v>
      </c>
      <c r="D617">
        <v>14</v>
      </c>
      <c r="E617" t="s">
        <v>1447</v>
      </c>
      <c r="F617" t="s">
        <v>1873</v>
      </c>
      <c r="G617" t="s">
        <v>1737</v>
      </c>
      <c r="H617" t="s">
        <v>2279</v>
      </c>
      <c r="I617" t="s">
        <v>2279</v>
      </c>
      <c r="J617" t="s">
        <v>2279</v>
      </c>
      <c r="K617" t="s">
        <v>2279</v>
      </c>
      <c r="L617" t="s">
        <v>1534</v>
      </c>
      <c r="M617" t="s">
        <v>2279</v>
      </c>
      <c r="N617" t="s">
        <v>2279</v>
      </c>
      <c r="O617" s="190" t="str">
        <f>"["&amp;$C617&amp;"]["&amp;$D617&amp;"]["&amp;$F617&amp;"]"</f>
        <v>[S05_CategoryCHighestTierNotApplied][14][TierInPractice]</v>
      </c>
    </row>
    <row r="618" spans="1:15" x14ac:dyDescent="0.3">
      <c r="A618" t="s">
        <v>2277</v>
      </c>
      <c r="B618" t="s">
        <v>1866</v>
      </c>
      <c r="C618" t="s">
        <v>1867</v>
      </c>
      <c r="D618">
        <v>15</v>
      </c>
      <c r="E618" t="s">
        <v>1447</v>
      </c>
      <c r="F618" t="s">
        <v>1873</v>
      </c>
      <c r="G618" t="s">
        <v>1737</v>
      </c>
      <c r="H618" t="s">
        <v>2279</v>
      </c>
      <c r="I618" t="s">
        <v>2279</v>
      </c>
      <c r="J618" t="s">
        <v>2279</v>
      </c>
      <c r="K618" t="s">
        <v>2279</v>
      </c>
      <c r="L618" t="s">
        <v>1534</v>
      </c>
      <c r="M618" t="s">
        <v>2279</v>
      </c>
      <c r="N618" t="s">
        <v>2279</v>
      </c>
      <c r="O618" s="190" t="str">
        <f>"["&amp;$C618&amp;"]["&amp;$D618&amp;"]["&amp;$F618&amp;"]"</f>
        <v>[S05_CategoryCHighestTierNotApplied][15][TierInPractice]</v>
      </c>
    </row>
    <row r="619" spans="1:15" x14ac:dyDescent="0.3">
      <c r="A619" t="s">
        <v>2277</v>
      </c>
      <c r="B619" t="s">
        <v>1866</v>
      </c>
      <c r="C619" t="s">
        <v>1867</v>
      </c>
      <c r="D619">
        <v>16</v>
      </c>
      <c r="E619" t="s">
        <v>1447</v>
      </c>
      <c r="F619" t="s">
        <v>1873</v>
      </c>
      <c r="G619" t="s">
        <v>1737</v>
      </c>
      <c r="H619" t="s">
        <v>2279</v>
      </c>
      <c r="I619" t="s">
        <v>2279</v>
      </c>
      <c r="J619" t="s">
        <v>2279</v>
      </c>
      <c r="K619" t="s">
        <v>2279</v>
      </c>
      <c r="L619" t="s">
        <v>1534</v>
      </c>
      <c r="M619" t="s">
        <v>2279</v>
      </c>
      <c r="N619" t="s">
        <v>2279</v>
      </c>
      <c r="O619" s="190" t="str">
        <f>"["&amp;$C619&amp;"]["&amp;$D619&amp;"]["&amp;$F619&amp;"]"</f>
        <v>[S05_CategoryCHighestTierNotApplied][16][TierInPractice]</v>
      </c>
    </row>
    <row r="620" spans="1:15" x14ac:dyDescent="0.3">
      <c r="A620" t="s">
        <v>2277</v>
      </c>
      <c r="B620" t="s">
        <v>1874</v>
      </c>
      <c r="C620" t="s">
        <v>1875</v>
      </c>
      <c r="D620">
        <v>1</v>
      </c>
      <c r="E620" t="s">
        <v>1447</v>
      </c>
      <c r="F620" t="s">
        <v>1876</v>
      </c>
      <c r="G620" t="s">
        <v>1737</v>
      </c>
      <c r="H620" t="s">
        <v>2279</v>
      </c>
      <c r="I620" t="s">
        <v>2279</v>
      </c>
      <c r="J620" t="s">
        <v>2279</v>
      </c>
      <c r="K620" t="s">
        <v>2279</v>
      </c>
      <c r="L620" t="s">
        <v>1458</v>
      </c>
      <c r="M620" t="s">
        <v>2279</v>
      </c>
      <c r="N620" t="s">
        <v>2279</v>
      </c>
      <c r="O620" s="190" t="str">
        <f>"["&amp;$C620&amp;"]["&amp;$D620&amp;"]["&amp;$F620&amp;"]"</f>
        <v>[S05_CategoryBHighestTierNotApplied][1][MonitoringMethodology]</v>
      </c>
    </row>
    <row r="621" spans="1:15" x14ac:dyDescent="0.3">
      <c r="A621" t="s">
        <v>2277</v>
      </c>
      <c r="B621" t="s">
        <v>1874</v>
      </c>
      <c r="C621" t="s">
        <v>1875</v>
      </c>
      <c r="D621">
        <v>2</v>
      </c>
      <c r="E621" t="s">
        <v>1447</v>
      </c>
      <c r="F621" t="s">
        <v>1876</v>
      </c>
      <c r="G621" t="s">
        <v>1737</v>
      </c>
      <c r="H621" t="s">
        <v>2279</v>
      </c>
      <c r="I621" t="s">
        <v>2279</v>
      </c>
      <c r="J621" t="s">
        <v>2279</v>
      </c>
      <c r="K621" t="s">
        <v>2279</v>
      </c>
      <c r="L621" t="s">
        <v>1458</v>
      </c>
      <c r="M621" t="s">
        <v>2279</v>
      </c>
      <c r="N621" t="s">
        <v>2279</v>
      </c>
      <c r="O621" s="190" t="str">
        <f>"["&amp;$C621&amp;"]["&amp;$D621&amp;"]["&amp;$F621&amp;"]"</f>
        <v>[S05_CategoryBHighestTierNotApplied][2][MonitoringMethodology]</v>
      </c>
    </row>
    <row r="622" spans="1:15" x14ac:dyDescent="0.3">
      <c r="A622" t="s">
        <v>2277</v>
      </c>
      <c r="B622" t="s">
        <v>1874</v>
      </c>
      <c r="C622" t="s">
        <v>1875</v>
      </c>
      <c r="D622">
        <v>1</v>
      </c>
      <c r="E622" t="s">
        <v>1447</v>
      </c>
      <c r="F622" t="s">
        <v>1877</v>
      </c>
      <c r="G622" t="s">
        <v>1737</v>
      </c>
      <c r="H622" t="s">
        <v>2279</v>
      </c>
      <c r="I622" t="s">
        <v>2279</v>
      </c>
      <c r="J622" t="s">
        <v>2279</v>
      </c>
      <c r="K622" t="s">
        <v>2279</v>
      </c>
      <c r="L622" t="s">
        <v>1420</v>
      </c>
      <c r="M622" t="s">
        <v>2279</v>
      </c>
      <c r="N622" t="s">
        <v>2279</v>
      </c>
      <c r="O622" s="190" t="str">
        <f>"["&amp;$C622&amp;"]["&amp;$D622&amp;"]["&amp;$F622&amp;"]"</f>
        <v>[S05_CategoryBHighestTierNotApplied][1][CategoryBMainActivity]</v>
      </c>
    </row>
    <row r="623" spans="1:15" x14ac:dyDescent="0.3">
      <c r="A623" t="s">
        <v>2277</v>
      </c>
      <c r="B623" t="s">
        <v>1874</v>
      </c>
      <c r="C623" t="s">
        <v>1875</v>
      </c>
      <c r="D623">
        <v>2</v>
      </c>
      <c r="E623" t="s">
        <v>1447</v>
      </c>
      <c r="F623" t="s">
        <v>1877</v>
      </c>
      <c r="G623" t="s">
        <v>1737</v>
      </c>
      <c r="H623" t="s">
        <v>2279</v>
      </c>
      <c r="I623" t="s">
        <v>2279</v>
      </c>
      <c r="J623" t="s">
        <v>2279</v>
      </c>
      <c r="K623" t="s">
        <v>2279</v>
      </c>
      <c r="L623" t="s">
        <v>1607</v>
      </c>
      <c r="M623" t="s">
        <v>2279</v>
      </c>
      <c r="N623" t="s">
        <v>2279</v>
      </c>
      <c r="O623" s="190" t="str">
        <f>"["&amp;$C623&amp;"]["&amp;$D623&amp;"]["&amp;$F623&amp;"]"</f>
        <v>[S05_CategoryBHighestTierNotApplied][2][CategoryBMainActivity]</v>
      </c>
    </row>
    <row r="624" spans="1:15" x14ac:dyDescent="0.3">
      <c r="A624" t="s">
        <v>2277</v>
      </c>
      <c r="B624" t="s">
        <v>1874</v>
      </c>
      <c r="C624" t="s">
        <v>1875</v>
      </c>
      <c r="D624">
        <v>1</v>
      </c>
      <c r="E624" t="s">
        <v>1447</v>
      </c>
      <c r="F624" t="s">
        <v>1878</v>
      </c>
      <c r="G624" t="s">
        <v>1748</v>
      </c>
      <c r="H624" t="s">
        <v>2279</v>
      </c>
      <c r="I624">
        <v>2</v>
      </c>
      <c r="J624" t="s">
        <v>2279</v>
      </c>
      <c r="K624" t="s">
        <v>2279</v>
      </c>
      <c r="L624" t="s">
        <v>2279</v>
      </c>
      <c r="M624" t="s">
        <v>2279</v>
      </c>
      <c r="N624" t="s">
        <v>2279</v>
      </c>
      <c r="O624" s="190" t="str">
        <f>"["&amp;$C624&amp;"]["&amp;$D624&amp;"]["&amp;$F624&amp;"]"</f>
        <v>[S05_CategoryBHighestTierNotApplied][1][CategoryBInstallationsAffected]</v>
      </c>
    </row>
    <row r="625" spans="1:15" x14ac:dyDescent="0.3">
      <c r="A625" t="s">
        <v>2277</v>
      </c>
      <c r="B625" t="s">
        <v>1874</v>
      </c>
      <c r="C625" t="s">
        <v>1875</v>
      </c>
      <c r="D625">
        <v>2</v>
      </c>
      <c r="E625" t="s">
        <v>1447</v>
      </c>
      <c r="F625" t="s">
        <v>1878</v>
      </c>
      <c r="G625" t="s">
        <v>1748</v>
      </c>
      <c r="H625" t="s">
        <v>2279</v>
      </c>
      <c r="I625">
        <v>1</v>
      </c>
      <c r="J625" t="s">
        <v>2279</v>
      </c>
      <c r="K625" t="s">
        <v>2279</v>
      </c>
      <c r="L625" t="s">
        <v>2279</v>
      </c>
      <c r="M625" t="s">
        <v>2279</v>
      </c>
      <c r="N625" t="s">
        <v>2279</v>
      </c>
      <c r="O625" s="190" t="str">
        <f>"["&amp;$C625&amp;"]["&amp;$D625&amp;"]["&amp;$F625&amp;"]"</f>
        <v>[S05_CategoryBHighestTierNotApplied][2][CategoryBInstallationsAffected]</v>
      </c>
    </row>
    <row r="626" spans="1:15" x14ac:dyDescent="0.3">
      <c r="A626" t="s">
        <v>2277</v>
      </c>
      <c r="B626" t="s">
        <v>1879</v>
      </c>
      <c r="C626" t="s">
        <v>1880</v>
      </c>
      <c r="D626">
        <v>0</v>
      </c>
      <c r="E626" t="s">
        <v>1447</v>
      </c>
      <c r="F626" t="s">
        <v>1880</v>
      </c>
      <c r="G626" t="s">
        <v>1759</v>
      </c>
      <c r="H626" t="s">
        <v>2279</v>
      </c>
      <c r="I626" t="s">
        <v>2279</v>
      </c>
      <c r="J626" t="s">
        <v>2279</v>
      </c>
      <c r="K626" t="s">
        <v>2279</v>
      </c>
      <c r="L626" t="s">
        <v>1419</v>
      </c>
      <c r="M626" t="s">
        <v>2279</v>
      </c>
      <c r="N626" t="s">
        <v>2279</v>
      </c>
      <c r="O626" s="190" t="str">
        <f>"["&amp;$C626&amp;"]["&amp;$D626&amp;"]["&amp;$F626&amp;"]"</f>
        <v>[FallBackApproachApplied][0][FallBackApproachApplied]</v>
      </c>
    </row>
    <row r="627" spans="1:15" x14ac:dyDescent="0.3">
      <c r="A627" t="s">
        <v>2277</v>
      </c>
      <c r="B627" t="s">
        <v>1879</v>
      </c>
      <c r="C627" t="s">
        <v>1881</v>
      </c>
      <c r="D627">
        <v>1</v>
      </c>
      <c r="E627" t="s">
        <v>1447</v>
      </c>
      <c r="F627" t="s">
        <v>1882</v>
      </c>
      <c r="G627" t="s">
        <v>1741</v>
      </c>
      <c r="H627" t="s">
        <v>2372</v>
      </c>
      <c r="I627" t="s">
        <v>2279</v>
      </c>
      <c r="J627" t="s">
        <v>2279</v>
      </c>
      <c r="K627" t="s">
        <v>2279</v>
      </c>
      <c r="L627" t="s">
        <v>2279</v>
      </c>
      <c r="M627" t="s">
        <v>2279</v>
      </c>
      <c r="N627" t="s">
        <v>2279</v>
      </c>
      <c r="O627" s="190" t="str">
        <f>"["&amp;$C627&amp;"]["&amp;$D627&amp;"]["&amp;$F627&amp;"]"</f>
        <v>[S05_FallBackApproachAppliedDetail][1][FallbackInstallationID]</v>
      </c>
    </row>
    <row r="628" spans="1:15" x14ac:dyDescent="0.3">
      <c r="A628" t="s">
        <v>2277</v>
      </c>
      <c r="B628" t="s">
        <v>1879</v>
      </c>
      <c r="C628" t="s">
        <v>1881</v>
      </c>
      <c r="D628">
        <v>1</v>
      </c>
      <c r="E628" t="s">
        <v>1447</v>
      </c>
      <c r="F628" t="s">
        <v>1883</v>
      </c>
      <c r="G628" t="s">
        <v>1737</v>
      </c>
      <c r="H628" t="s">
        <v>2279</v>
      </c>
      <c r="I628" t="s">
        <v>2279</v>
      </c>
      <c r="J628" t="s">
        <v>2279</v>
      </c>
      <c r="K628" t="s">
        <v>2279</v>
      </c>
      <c r="L628" t="s">
        <v>1431</v>
      </c>
      <c r="M628" t="s">
        <v>2279</v>
      </c>
      <c r="N628" t="s">
        <v>2279</v>
      </c>
      <c r="O628" s="190" t="str">
        <f>"["&amp;$C628&amp;"]["&amp;$D628&amp;"]["&amp;$F628&amp;"]"</f>
        <v>[S05_FallBackApproachAppliedDetail][1][FallBackReason]</v>
      </c>
    </row>
    <row r="629" spans="1:15" x14ac:dyDescent="0.3">
      <c r="A629" t="s">
        <v>2277</v>
      </c>
      <c r="B629" t="s">
        <v>1879</v>
      </c>
      <c r="C629" t="s">
        <v>1881</v>
      </c>
      <c r="D629">
        <v>1</v>
      </c>
      <c r="E629" t="s">
        <v>1447</v>
      </c>
      <c r="F629" t="s">
        <v>1884</v>
      </c>
      <c r="G629" t="s">
        <v>1737</v>
      </c>
      <c r="H629" t="s">
        <v>2279</v>
      </c>
      <c r="I629" t="s">
        <v>2279</v>
      </c>
      <c r="J629" t="s">
        <v>2279</v>
      </c>
      <c r="K629" t="s">
        <v>2279</v>
      </c>
      <c r="L629" t="s">
        <v>1552</v>
      </c>
      <c r="M629" t="s">
        <v>2279</v>
      </c>
      <c r="N629" t="s">
        <v>2279</v>
      </c>
      <c r="O629" s="190" t="str">
        <f>"["&amp;$C629&amp;"]["&amp;$D629&amp;"]["&amp;$F629&amp;"]"</f>
        <v>[S05_FallBackApproachAppliedDetail][1][ParameterNotTier1]</v>
      </c>
    </row>
    <row r="630" spans="1:15" x14ac:dyDescent="0.3">
      <c r="A630" t="s">
        <v>2277</v>
      </c>
      <c r="B630" t="s">
        <v>1879</v>
      </c>
      <c r="C630" t="s">
        <v>1881</v>
      </c>
      <c r="D630">
        <v>1</v>
      </c>
      <c r="E630" t="s">
        <v>1447</v>
      </c>
      <c r="F630" t="s">
        <v>1885</v>
      </c>
      <c r="G630" t="s">
        <v>1806</v>
      </c>
      <c r="H630" t="s">
        <v>2279</v>
      </c>
      <c r="I630" t="s">
        <v>2279</v>
      </c>
      <c r="J630">
        <v>827079.12958219799</v>
      </c>
      <c r="K630" t="s">
        <v>2279</v>
      </c>
      <c r="L630" t="s">
        <v>2279</v>
      </c>
      <c r="M630" t="s">
        <v>2279</v>
      </c>
      <c r="N630" t="s">
        <v>2279</v>
      </c>
      <c r="O630" s="190" t="str">
        <f>"["&amp;$C630&amp;"]["&amp;$D630&amp;"]["&amp;$F630&amp;"]"</f>
        <v>[S05_FallBackApproachAppliedDetail][1][ParameterEmissions]</v>
      </c>
    </row>
    <row r="631" spans="1:15" x14ac:dyDescent="0.3">
      <c r="A631" t="s">
        <v>2277</v>
      </c>
      <c r="B631" t="s">
        <v>1886</v>
      </c>
      <c r="C631" t="s">
        <v>1887</v>
      </c>
      <c r="D631">
        <v>1</v>
      </c>
      <c r="E631" t="s">
        <v>1447</v>
      </c>
      <c r="F631" t="s">
        <v>1856</v>
      </c>
      <c r="G631" t="s">
        <v>1737</v>
      </c>
      <c r="H631" t="s">
        <v>2279</v>
      </c>
      <c r="I631" t="s">
        <v>2279</v>
      </c>
      <c r="J631" t="s">
        <v>2279</v>
      </c>
      <c r="K631" t="s">
        <v>2279</v>
      </c>
      <c r="L631" t="s">
        <v>1432</v>
      </c>
      <c r="M631" t="s">
        <v>2279</v>
      </c>
      <c r="N631" t="s">
        <v>2279</v>
      </c>
      <c r="O631" s="190" t="str">
        <f>"["&amp;$C631&amp;"]["&amp;$D631&amp;"]["&amp;$F631&amp;"]"</f>
        <v>[S05_ImprovementReportArt69][1][InstallationCategory]</v>
      </c>
    </row>
    <row r="632" spans="1:15" x14ac:dyDescent="0.3">
      <c r="A632" t="s">
        <v>2277</v>
      </c>
      <c r="B632" t="s">
        <v>1886</v>
      </c>
      <c r="C632" t="s">
        <v>1887</v>
      </c>
      <c r="D632">
        <v>2</v>
      </c>
      <c r="E632" t="s">
        <v>1447</v>
      </c>
      <c r="F632" t="s">
        <v>1856</v>
      </c>
      <c r="G632" t="s">
        <v>1737</v>
      </c>
      <c r="H632" t="s">
        <v>2279</v>
      </c>
      <c r="I632" t="s">
        <v>2279</v>
      </c>
      <c r="J632" t="s">
        <v>2279</v>
      </c>
      <c r="K632" t="s">
        <v>2279</v>
      </c>
      <c r="L632" t="s">
        <v>1460</v>
      </c>
      <c r="M632" t="s">
        <v>2279</v>
      </c>
      <c r="N632" t="s">
        <v>2279</v>
      </c>
      <c r="O632" s="190" t="str">
        <f>"["&amp;$C632&amp;"]["&amp;$D632&amp;"]["&amp;$F632&amp;"]"</f>
        <v>[S05_ImprovementReportArt69][2][InstallationCategory]</v>
      </c>
    </row>
    <row r="633" spans="1:15" x14ac:dyDescent="0.3">
      <c r="A633" t="s">
        <v>2277</v>
      </c>
      <c r="B633" t="s">
        <v>1886</v>
      </c>
      <c r="C633" t="s">
        <v>1887</v>
      </c>
      <c r="D633">
        <v>3</v>
      </c>
      <c r="E633" t="s">
        <v>1447</v>
      </c>
      <c r="F633" t="s">
        <v>1856</v>
      </c>
      <c r="G633" t="s">
        <v>1737</v>
      </c>
      <c r="H633" t="s">
        <v>2279</v>
      </c>
      <c r="I633" t="s">
        <v>2279</v>
      </c>
      <c r="J633" t="s">
        <v>2279</v>
      </c>
      <c r="K633" t="s">
        <v>2279</v>
      </c>
      <c r="L633" t="s">
        <v>1487</v>
      </c>
      <c r="M633" t="s">
        <v>2279</v>
      </c>
      <c r="N633" t="s">
        <v>2279</v>
      </c>
      <c r="O633" s="190" t="str">
        <f>"["&amp;$C633&amp;"]["&amp;$D633&amp;"]["&amp;$F633&amp;"]"</f>
        <v>[S05_ImprovementReportArt69][3][InstallationCategory]</v>
      </c>
    </row>
    <row r="634" spans="1:15" x14ac:dyDescent="0.3">
      <c r="A634" t="s">
        <v>2277</v>
      </c>
      <c r="B634" t="s">
        <v>1886</v>
      </c>
      <c r="C634" t="s">
        <v>1887</v>
      </c>
      <c r="D634">
        <v>4</v>
      </c>
      <c r="E634" t="s">
        <v>1447</v>
      </c>
      <c r="F634" t="s">
        <v>1856</v>
      </c>
      <c r="G634" t="s">
        <v>1737</v>
      </c>
      <c r="H634" t="s">
        <v>2279</v>
      </c>
      <c r="I634" t="s">
        <v>2279</v>
      </c>
      <c r="J634" t="s">
        <v>2279</v>
      </c>
      <c r="K634" t="s">
        <v>2279</v>
      </c>
      <c r="L634" t="s">
        <v>1460</v>
      </c>
      <c r="M634" t="s">
        <v>2279</v>
      </c>
      <c r="N634" t="s">
        <v>2279</v>
      </c>
      <c r="O634" s="190" t="str">
        <f>"["&amp;$C634&amp;"]["&amp;$D634&amp;"]["&amp;$F634&amp;"]"</f>
        <v>[S05_ImprovementReportArt69][4][InstallationCategory]</v>
      </c>
    </row>
    <row r="635" spans="1:15" x14ac:dyDescent="0.3">
      <c r="A635" t="s">
        <v>2277</v>
      </c>
      <c r="B635" t="s">
        <v>1886</v>
      </c>
      <c r="C635" t="s">
        <v>1887</v>
      </c>
      <c r="D635">
        <v>5</v>
      </c>
      <c r="E635" t="s">
        <v>1447</v>
      </c>
      <c r="F635" t="s">
        <v>1856</v>
      </c>
      <c r="G635" t="s">
        <v>1737</v>
      </c>
      <c r="H635" t="s">
        <v>2279</v>
      </c>
      <c r="I635" t="s">
        <v>2279</v>
      </c>
      <c r="J635" t="s">
        <v>2279</v>
      </c>
      <c r="K635" t="s">
        <v>2279</v>
      </c>
      <c r="L635" t="s">
        <v>1487</v>
      </c>
      <c r="M635" t="s">
        <v>2279</v>
      </c>
      <c r="N635" t="s">
        <v>2279</v>
      </c>
      <c r="O635" s="190" t="str">
        <f>"["&amp;$C635&amp;"]["&amp;$D635&amp;"]["&amp;$F635&amp;"]"</f>
        <v>[S05_ImprovementReportArt69][5][InstallationCategory]</v>
      </c>
    </row>
    <row r="636" spans="1:15" x14ac:dyDescent="0.3">
      <c r="A636" t="s">
        <v>2277</v>
      </c>
      <c r="B636" t="s">
        <v>1886</v>
      </c>
      <c r="C636" t="s">
        <v>1887</v>
      </c>
      <c r="D636">
        <v>6</v>
      </c>
      <c r="E636" t="s">
        <v>1447</v>
      </c>
      <c r="F636" t="s">
        <v>1856</v>
      </c>
      <c r="G636" t="s">
        <v>1737</v>
      </c>
      <c r="H636" t="s">
        <v>2279</v>
      </c>
      <c r="I636" t="s">
        <v>2279</v>
      </c>
      <c r="J636" t="s">
        <v>2279</v>
      </c>
      <c r="K636" t="s">
        <v>2279</v>
      </c>
      <c r="L636" t="s">
        <v>1487</v>
      </c>
      <c r="M636" t="s">
        <v>2279</v>
      </c>
      <c r="N636" t="s">
        <v>2279</v>
      </c>
      <c r="O636" s="190" t="str">
        <f>"["&amp;$C636&amp;"]["&amp;$D636&amp;"]["&amp;$F636&amp;"]"</f>
        <v>[S05_ImprovementReportArt69][6][InstallationCategory]</v>
      </c>
    </row>
    <row r="637" spans="1:15" x14ac:dyDescent="0.3">
      <c r="A637" t="s">
        <v>2277</v>
      </c>
      <c r="B637" t="s">
        <v>1886</v>
      </c>
      <c r="C637" t="s">
        <v>1887</v>
      </c>
      <c r="D637">
        <v>7</v>
      </c>
      <c r="E637" t="s">
        <v>1447</v>
      </c>
      <c r="F637" t="s">
        <v>1856</v>
      </c>
      <c r="G637" t="s">
        <v>1737</v>
      </c>
      <c r="H637" t="s">
        <v>2279</v>
      </c>
      <c r="I637" t="s">
        <v>2279</v>
      </c>
      <c r="J637" t="s">
        <v>2279</v>
      </c>
      <c r="K637" t="s">
        <v>2279</v>
      </c>
      <c r="L637" t="s">
        <v>1487</v>
      </c>
      <c r="M637" t="s">
        <v>2279</v>
      </c>
      <c r="N637" t="s">
        <v>2279</v>
      </c>
      <c r="O637" s="190" t="str">
        <f>"["&amp;$C637&amp;"]["&amp;$D637&amp;"]["&amp;$F637&amp;"]"</f>
        <v>[S05_ImprovementReportArt69][7][InstallationCategory]</v>
      </c>
    </row>
    <row r="638" spans="1:15" x14ac:dyDescent="0.3">
      <c r="A638" t="s">
        <v>2277</v>
      </c>
      <c r="B638" t="s">
        <v>1886</v>
      </c>
      <c r="C638" t="s">
        <v>1887</v>
      </c>
      <c r="D638">
        <v>8</v>
      </c>
      <c r="E638" t="s">
        <v>1447</v>
      </c>
      <c r="F638" t="s">
        <v>1856</v>
      </c>
      <c r="G638" t="s">
        <v>1737</v>
      </c>
      <c r="H638" t="s">
        <v>2279</v>
      </c>
      <c r="I638" t="s">
        <v>2279</v>
      </c>
      <c r="J638" t="s">
        <v>2279</v>
      </c>
      <c r="K638" t="s">
        <v>2279</v>
      </c>
      <c r="L638" t="s">
        <v>1487</v>
      </c>
      <c r="M638" t="s">
        <v>2279</v>
      </c>
      <c r="N638" t="s">
        <v>2279</v>
      </c>
      <c r="O638" s="190" t="str">
        <f>"["&amp;$C638&amp;"]["&amp;$D638&amp;"]["&amp;$F638&amp;"]"</f>
        <v>[S05_ImprovementReportArt69][8][InstallationCategory]</v>
      </c>
    </row>
    <row r="639" spans="1:15" x14ac:dyDescent="0.3">
      <c r="A639" t="s">
        <v>2277</v>
      </c>
      <c r="B639" t="s">
        <v>1886</v>
      </c>
      <c r="C639" t="s">
        <v>1887</v>
      </c>
      <c r="D639">
        <v>9</v>
      </c>
      <c r="E639" t="s">
        <v>1447</v>
      </c>
      <c r="F639" t="s">
        <v>1856</v>
      </c>
      <c r="G639" t="s">
        <v>1737</v>
      </c>
      <c r="H639" t="s">
        <v>2279</v>
      </c>
      <c r="I639" t="s">
        <v>2279</v>
      </c>
      <c r="J639" t="s">
        <v>2279</v>
      </c>
      <c r="K639" t="s">
        <v>2279</v>
      </c>
      <c r="L639" t="s">
        <v>1487</v>
      </c>
      <c r="M639" t="s">
        <v>2279</v>
      </c>
      <c r="N639" t="s">
        <v>2279</v>
      </c>
      <c r="O639" s="190" t="str">
        <f>"["&amp;$C639&amp;"]["&amp;$D639&amp;"]["&amp;$F639&amp;"]"</f>
        <v>[S05_ImprovementReportArt69][9][InstallationCategory]</v>
      </c>
    </row>
    <row r="640" spans="1:15" x14ac:dyDescent="0.3">
      <c r="A640" t="s">
        <v>2277</v>
      </c>
      <c r="B640" t="s">
        <v>1886</v>
      </c>
      <c r="C640" t="s">
        <v>1887</v>
      </c>
      <c r="D640">
        <v>1</v>
      </c>
      <c r="E640" t="s">
        <v>1447</v>
      </c>
      <c r="F640" t="s">
        <v>1888</v>
      </c>
      <c r="G640" t="s">
        <v>1737</v>
      </c>
      <c r="H640" t="s">
        <v>2279</v>
      </c>
      <c r="I640" t="s">
        <v>2279</v>
      </c>
      <c r="J640" t="s">
        <v>2279</v>
      </c>
      <c r="K640" t="s">
        <v>2279</v>
      </c>
      <c r="L640" t="s">
        <v>1420</v>
      </c>
      <c r="M640" t="s">
        <v>2279</v>
      </c>
      <c r="N640" t="s">
        <v>2279</v>
      </c>
      <c r="O640" s="190" t="str">
        <f>"["&amp;$C640&amp;"]["&amp;$D640&amp;"]["&amp;$F640&amp;"]"</f>
        <v>[S05_ImprovementReportArt69][1][Annex1Activity]</v>
      </c>
    </row>
    <row r="641" spans="1:15" x14ac:dyDescent="0.3">
      <c r="A641" t="s">
        <v>2277</v>
      </c>
      <c r="B641" t="s">
        <v>1886</v>
      </c>
      <c r="C641" t="s">
        <v>1887</v>
      </c>
      <c r="D641">
        <v>2</v>
      </c>
      <c r="E641" t="s">
        <v>1447</v>
      </c>
      <c r="F641" t="s">
        <v>1888</v>
      </c>
      <c r="G641" t="s">
        <v>1737</v>
      </c>
      <c r="H641" t="s">
        <v>2279</v>
      </c>
      <c r="I641" t="s">
        <v>2279</v>
      </c>
      <c r="J641" t="s">
        <v>2279</v>
      </c>
      <c r="K641" t="s">
        <v>2279</v>
      </c>
      <c r="L641" t="s">
        <v>1420</v>
      </c>
      <c r="M641" t="s">
        <v>2279</v>
      </c>
      <c r="N641" t="s">
        <v>2279</v>
      </c>
      <c r="O641" s="190" t="str">
        <f>"["&amp;$C641&amp;"]["&amp;$D641&amp;"]["&amp;$F641&amp;"]"</f>
        <v>[S05_ImprovementReportArt69][2][Annex1Activity]</v>
      </c>
    </row>
    <row r="642" spans="1:15" x14ac:dyDescent="0.3">
      <c r="A642" t="s">
        <v>2277</v>
      </c>
      <c r="B642" t="s">
        <v>1886</v>
      </c>
      <c r="C642" t="s">
        <v>1887</v>
      </c>
      <c r="D642">
        <v>3</v>
      </c>
      <c r="E642" t="s">
        <v>1447</v>
      </c>
      <c r="F642" t="s">
        <v>1888</v>
      </c>
      <c r="G642" t="s">
        <v>1737</v>
      </c>
      <c r="H642" t="s">
        <v>2279</v>
      </c>
      <c r="I642" t="s">
        <v>2279</v>
      </c>
      <c r="J642" t="s">
        <v>2279</v>
      </c>
      <c r="K642" t="s">
        <v>2279</v>
      </c>
      <c r="L642" t="s">
        <v>1420</v>
      </c>
      <c r="M642" t="s">
        <v>2279</v>
      </c>
      <c r="N642" t="s">
        <v>2279</v>
      </c>
      <c r="O642" s="190" t="str">
        <f>"["&amp;$C642&amp;"]["&amp;$D642&amp;"]["&amp;$F642&amp;"]"</f>
        <v>[S05_ImprovementReportArt69][3][Annex1Activity]</v>
      </c>
    </row>
    <row r="643" spans="1:15" x14ac:dyDescent="0.3">
      <c r="A643" t="s">
        <v>2277</v>
      </c>
      <c r="B643" t="s">
        <v>1886</v>
      </c>
      <c r="C643" t="s">
        <v>1887</v>
      </c>
      <c r="D643">
        <v>4</v>
      </c>
      <c r="E643" t="s">
        <v>1447</v>
      </c>
      <c r="F643" t="s">
        <v>1888</v>
      </c>
      <c r="G643" t="s">
        <v>1737</v>
      </c>
      <c r="H643" t="s">
        <v>2279</v>
      </c>
      <c r="I643" t="s">
        <v>2279</v>
      </c>
      <c r="J643" t="s">
        <v>2279</v>
      </c>
      <c r="K643" t="s">
        <v>2279</v>
      </c>
      <c r="L643" t="s">
        <v>1420</v>
      </c>
      <c r="M643" t="s">
        <v>2279</v>
      </c>
      <c r="N643" t="s">
        <v>2279</v>
      </c>
      <c r="O643" s="190" t="str">
        <f>"["&amp;$C643&amp;"]["&amp;$D643&amp;"]["&amp;$F643&amp;"]"</f>
        <v>[S05_ImprovementReportArt69][4][Annex1Activity]</v>
      </c>
    </row>
    <row r="644" spans="1:15" x14ac:dyDescent="0.3">
      <c r="A644" t="s">
        <v>2277</v>
      </c>
      <c r="B644" t="s">
        <v>1886</v>
      </c>
      <c r="C644" t="s">
        <v>1887</v>
      </c>
      <c r="D644">
        <v>5</v>
      </c>
      <c r="E644" t="s">
        <v>1447</v>
      </c>
      <c r="F644" t="s">
        <v>1888</v>
      </c>
      <c r="G644" t="s">
        <v>1737</v>
      </c>
      <c r="H644" t="s">
        <v>2279</v>
      </c>
      <c r="I644" t="s">
        <v>2279</v>
      </c>
      <c r="J644" t="s">
        <v>2279</v>
      </c>
      <c r="K644" t="s">
        <v>2279</v>
      </c>
      <c r="L644" t="s">
        <v>1420</v>
      </c>
      <c r="M644" t="s">
        <v>2279</v>
      </c>
      <c r="N644" t="s">
        <v>2279</v>
      </c>
      <c r="O644" s="190" t="str">
        <f>"["&amp;$C644&amp;"]["&amp;$D644&amp;"]["&amp;$F644&amp;"]"</f>
        <v>[S05_ImprovementReportArt69][5][Annex1Activity]</v>
      </c>
    </row>
    <row r="645" spans="1:15" x14ac:dyDescent="0.3">
      <c r="A645" t="s">
        <v>2277</v>
      </c>
      <c r="B645" t="s">
        <v>1886</v>
      </c>
      <c r="C645" t="s">
        <v>1887</v>
      </c>
      <c r="D645">
        <v>6</v>
      </c>
      <c r="E645" t="s">
        <v>1447</v>
      </c>
      <c r="F645" t="s">
        <v>1888</v>
      </c>
      <c r="G645" t="s">
        <v>1737</v>
      </c>
      <c r="H645" t="s">
        <v>2279</v>
      </c>
      <c r="I645" t="s">
        <v>2279</v>
      </c>
      <c r="J645" t="s">
        <v>2279</v>
      </c>
      <c r="K645" t="s">
        <v>2279</v>
      </c>
      <c r="L645" t="s">
        <v>1562</v>
      </c>
      <c r="M645" t="s">
        <v>2279</v>
      </c>
      <c r="N645" t="s">
        <v>2279</v>
      </c>
      <c r="O645" s="190" t="str">
        <f>"["&amp;$C645&amp;"]["&amp;$D645&amp;"]["&amp;$F645&amp;"]"</f>
        <v>[S05_ImprovementReportArt69][6][Annex1Activity]</v>
      </c>
    </row>
    <row r="646" spans="1:15" x14ac:dyDescent="0.3">
      <c r="A646" t="s">
        <v>2277</v>
      </c>
      <c r="B646" t="s">
        <v>1886</v>
      </c>
      <c r="C646" t="s">
        <v>1887</v>
      </c>
      <c r="D646">
        <v>7</v>
      </c>
      <c r="E646" t="s">
        <v>1447</v>
      </c>
      <c r="F646" t="s">
        <v>1888</v>
      </c>
      <c r="G646" t="s">
        <v>1737</v>
      </c>
      <c r="H646" t="s">
        <v>2279</v>
      </c>
      <c r="I646" t="s">
        <v>2279</v>
      </c>
      <c r="J646" t="s">
        <v>2279</v>
      </c>
      <c r="K646" t="s">
        <v>2279</v>
      </c>
      <c r="L646" t="s">
        <v>1631</v>
      </c>
      <c r="M646" t="s">
        <v>2279</v>
      </c>
      <c r="N646" t="s">
        <v>2279</v>
      </c>
      <c r="O646" s="190" t="str">
        <f>"["&amp;$C646&amp;"]["&amp;$D646&amp;"]["&amp;$F646&amp;"]"</f>
        <v>[S05_ImprovementReportArt69][7][Annex1Activity]</v>
      </c>
    </row>
    <row r="647" spans="1:15" x14ac:dyDescent="0.3">
      <c r="A647" t="s">
        <v>2277</v>
      </c>
      <c r="B647" t="s">
        <v>1886</v>
      </c>
      <c r="C647" t="s">
        <v>1887</v>
      </c>
      <c r="D647">
        <v>8</v>
      </c>
      <c r="E647" t="s">
        <v>1447</v>
      </c>
      <c r="F647" t="s">
        <v>1888</v>
      </c>
      <c r="G647" t="s">
        <v>1737</v>
      </c>
      <c r="H647" t="s">
        <v>2279</v>
      </c>
      <c r="I647" t="s">
        <v>2279</v>
      </c>
      <c r="J647" t="s">
        <v>2279</v>
      </c>
      <c r="K647" t="s">
        <v>2279</v>
      </c>
      <c r="L647" t="s">
        <v>1626</v>
      </c>
      <c r="M647" t="s">
        <v>2279</v>
      </c>
      <c r="N647" t="s">
        <v>2279</v>
      </c>
      <c r="O647" s="190" t="str">
        <f>"["&amp;$C647&amp;"]["&amp;$D647&amp;"]["&amp;$F647&amp;"]"</f>
        <v>[S05_ImprovementReportArt69][8][Annex1Activity]</v>
      </c>
    </row>
    <row r="648" spans="1:15" x14ac:dyDescent="0.3">
      <c r="A648" t="s">
        <v>2277</v>
      </c>
      <c r="B648" t="s">
        <v>1886</v>
      </c>
      <c r="C648" t="s">
        <v>1887</v>
      </c>
      <c r="D648">
        <v>9</v>
      </c>
      <c r="E648" t="s">
        <v>1447</v>
      </c>
      <c r="F648" t="s">
        <v>1888</v>
      </c>
      <c r="G648" t="s">
        <v>1737</v>
      </c>
      <c r="H648" t="s">
        <v>2279</v>
      </c>
      <c r="I648" t="s">
        <v>2279</v>
      </c>
      <c r="J648" t="s">
        <v>2279</v>
      </c>
      <c r="K648" t="s">
        <v>2279</v>
      </c>
      <c r="L648" t="s">
        <v>1518</v>
      </c>
      <c r="M648" t="s">
        <v>2279</v>
      </c>
      <c r="N648" t="s">
        <v>2279</v>
      </c>
      <c r="O648" s="190" t="str">
        <f>"["&amp;$C648&amp;"]["&amp;$D648&amp;"]["&amp;$F648&amp;"]"</f>
        <v>[S05_ImprovementReportArt69][9][Annex1Activity]</v>
      </c>
    </row>
    <row r="649" spans="1:15" x14ac:dyDescent="0.3">
      <c r="A649" t="s">
        <v>2277</v>
      </c>
      <c r="B649" t="s">
        <v>1886</v>
      </c>
      <c r="C649" t="s">
        <v>1887</v>
      </c>
      <c r="D649">
        <v>1</v>
      </c>
      <c r="E649" t="s">
        <v>1447</v>
      </c>
      <c r="F649" t="s">
        <v>1889</v>
      </c>
      <c r="G649" t="s">
        <v>1737</v>
      </c>
      <c r="H649" t="s">
        <v>2279</v>
      </c>
      <c r="I649" t="s">
        <v>2279</v>
      </c>
      <c r="J649" t="s">
        <v>2279</v>
      </c>
      <c r="K649" t="s">
        <v>2279</v>
      </c>
      <c r="L649" t="s">
        <v>1433</v>
      </c>
      <c r="M649" t="s">
        <v>2279</v>
      </c>
      <c r="N649" t="s">
        <v>2279</v>
      </c>
      <c r="O649" s="190" t="str">
        <f>"["&amp;$C649&amp;"]["&amp;$D649&amp;"]["&amp;$F649&amp;"]"</f>
        <v>[S05_ImprovementReportArt69][1][ImprovementReportType]</v>
      </c>
    </row>
    <row r="650" spans="1:15" x14ac:dyDescent="0.3">
      <c r="A650" t="s">
        <v>2277</v>
      </c>
      <c r="B650" t="s">
        <v>1886</v>
      </c>
      <c r="C650" t="s">
        <v>1887</v>
      </c>
      <c r="D650">
        <v>2</v>
      </c>
      <c r="E650" t="s">
        <v>1447</v>
      </c>
      <c r="F650" t="s">
        <v>1889</v>
      </c>
      <c r="G650" t="s">
        <v>1737</v>
      </c>
      <c r="H650" t="s">
        <v>2279</v>
      </c>
      <c r="I650" t="s">
        <v>2279</v>
      </c>
      <c r="J650" t="s">
        <v>2279</v>
      </c>
      <c r="K650" t="s">
        <v>2279</v>
      </c>
      <c r="L650" t="s">
        <v>1433</v>
      </c>
      <c r="M650" t="s">
        <v>2279</v>
      </c>
      <c r="N650" t="s">
        <v>2279</v>
      </c>
      <c r="O650" s="190" t="str">
        <f>"["&amp;$C650&amp;"]["&amp;$D650&amp;"]["&amp;$F650&amp;"]"</f>
        <v>[S05_ImprovementReportArt69][2][ImprovementReportType]</v>
      </c>
    </row>
    <row r="651" spans="1:15" x14ac:dyDescent="0.3">
      <c r="A651" t="s">
        <v>2277</v>
      </c>
      <c r="B651" t="s">
        <v>1886</v>
      </c>
      <c r="C651" t="s">
        <v>1887</v>
      </c>
      <c r="D651">
        <v>3</v>
      </c>
      <c r="E651" t="s">
        <v>1447</v>
      </c>
      <c r="F651" t="s">
        <v>1889</v>
      </c>
      <c r="G651" t="s">
        <v>1737</v>
      </c>
      <c r="H651" t="s">
        <v>2279</v>
      </c>
      <c r="I651" t="s">
        <v>2279</v>
      </c>
      <c r="J651" t="s">
        <v>2279</v>
      </c>
      <c r="K651" t="s">
        <v>2279</v>
      </c>
      <c r="L651" t="s">
        <v>1433</v>
      </c>
      <c r="M651" t="s">
        <v>2279</v>
      </c>
      <c r="N651" t="s">
        <v>2279</v>
      </c>
      <c r="O651" s="190" t="str">
        <f>"["&amp;$C651&amp;"]["&amp;$D651&amp;"]["&amp;$F651&amp;"]"</f>
        <v>[S05_ImprovementReportArt69][3][ImprovementReportType]</v>
      </c>
    </row>
    <row r="652" spans="1:15" x14ac:dyDescent="0.3">
      <c r="A652" t="s">
        <v>2277</v>
      </c>
      <c r="B652" t="s">
        <v>1886</v>
      </c>
      <c r="C652" t="s">
        <v>1887</v>
      </c>
      <c r="D652">
        <v>4</v>
      </c>
      <c r="E652" t="s">
        <v>1447</v>
      </c>
      <c r="F652" t="s">
        <v>1889</v>
      </c>
      <c r="G652" t="s">
        <v>1737</v>
      </c>
      <c r="H652" t="s">
        <v>2279</v>
      </c>
      <c r="I652" t="s">
        <v>2279</v>
      </c>
      <c r="J652" t="s">
        <v>2279</v>
      </c>
      <c r="K652" t="s">
        <v>2279</v>
      </c>
      <c r="L652" t="s">
        <v>1488</v>
      </c>
      <c r="M652" t="s">
        <v>2279</v>
      </c>
      <c r="N652" t="s">
        <v>2279</v>
      </c>
      <c r="O652" s="190" t="str">
        <f>"["&amp;$C652&amp;"]["&amp;$D652&amp;"]["&amp;$F652&amp;"]"</f>
        <v>[S05_ImprovementReportArt69][4][ImprovementReportType]</v>
      </c>
    </row>
    <row r="653" spans="1:15" x14ac:dyDescent="0.3">
      <c r="A653" t="s">
        <v>2277</v>
      </c>
      <c r="B653" t="s">
        <v>1886</v>
      </c>
      <c r="C653" t="s">
        <v>1887</v>
      </c>
      <c r="D653">
        <v>5</v>
      </c>
      <c r="E653" t="s">
        <v>1447</v>
      </c>
      <c r="F653" t="s">
        <v>1889</v>
      </c>
      <c r="G653" t="s">
        <v>1737</v>
      </c>
      <c r="H653" t="s">
        <v>2279</v>
      </c>
      <c r="I653" t="s">
        <v>2279</v>
      </c>
      <c r="J653" t="s">
        <v>2279</v>
      </c>
      <c r="K653" t="s">
        <v>2279</v>
      </c>
      <c r="L653" t="s">
        <v>1488</v>
      </c>
      <c r="M653" t="s">
        <v>2279</v>
      </c>
      <c r="N653" t="s">
        <v>2279</v>
      </c>
      <c r="O653" s="190" t="str">
        <f>"["&amp;$C653&amp;"]["&amp;$D653&amp;"]["&amp;$F653&amp;"]"</f>
        <v>[S05_ImprovementReportArt69][5][ImprovementReportType]</v>
      </c>
    </row>
    <row r="654" spans="1:15" x14ac:dyDescent="0.3">
      <c r="A654" t="s">
        <v>2277</v>
      </c>
      <c r="B654" t="s">
        <v>1886</v>
      </c>
      <c r="C654" t="s">
        <v>1887</v>
      </c>
      <c r="D654">
        <v>6</v>
      </c>
      <c r="E654" t="s">
        <v>1447</v>
      </c>
      <c r="F654" t="s">
        <v>1889</v>
      </c>
      <c r="G654" t="s">
        <v>1737</v>
      </c>
      <c r="H654" t="s">
        <v>2279</v>
      </c>
      <c r="I654" t="s">
        <v>2279</v>
      </c>
      <c r="J654" t="s">
        <v>2279</v>
      </c>
      <c r="K654" t="s">
        <v>2279</v>
      </c>
      <c r="L654" t="s">
        <v>1488</v>
      </c>
      <c r="M654" t="s">
        <v>2279</v>
      </c>
      <c r="N654" t="s">
        <v>2279</v>
      </c>
      <c r="O654" s="190" t="str">
        <f>"["&amp;$C654&amp;"]["&amp;$D654&amp;"]["&amp;$F654&amp;"]"</f>
        <v>[S05_ImprovementReportArt69][6][ImprovementReportType]</v>
      </c>
    </row>
    <row r="655" spans="1:15" x14ac:dyDescent="0.3">
      <c r="A655" t="s">
        <v>2277</v>
      </c>
      <c r="B655" t="s">
        <v>1886</v>
      </c>
      <c r="C655" t="s">
        <v>1887</v>
      </c>
      <c r="D655">
        <v>7</v>
      </c>
      <c r="E655" t="s">
        <v>1447</v>
      </c>
      <c r="F655" t="s">
        <v>1889</v>
      </c>
      <c r="G655" t="s">
        <v>1737</v>
      </c>
      <c r="H655" t="s">
        <v>2279</v>
      </c>
      <c r="I655" t="s">
        <v>2279</v>
      </c>
      <c r="J655" t="s">
        <v>2279</v>
      </c>
      <c r="K655" t="s">
        <v>2279</v>
      </c>
      <c r="L655" t="s">
        <v>1488</v>
      </c>
      <c r="M655" t="s">
        <v>2279</v>
      </c>
      <c r="N655" t="s">
        <v>2279</v>
      </c>
      <c r="O655" s="190" t="str">
        <f>"["&amp;$C655&amp;"]["&amp;$D655&amp;"]["&amp;$F655&amp;"]"</f>
        <v>[S05_ImprovementReportArt69][7][ImprovementReportType]</v>
      </c>
    </row>
    <row r="656" spans="1:15" x14ac:dyDescent="0.3">
      <c r="A656" t="s">
        <v>2277</v>
      </c>
      <c r="B656" t="s">
        <v>1886</v>
      </c>
      <c r="C656" t="s">
        <v>1887</v>
      </c>
      <c r="D656">
        <v>8</v>
      </c>
      <c r="E656" t="s">
        <v>1447</v>
      </c>
      <c r="F656" t="s">
        <v>1889</v>
      </c>
      <c r="G656" t="s">
        <v>1737</v>
      </c>
      <c r="H656" t="s">
        <v>2279</v>
      </c>
      <c r="I656" t="s">
        <v>2279</v>
      </c>
      <c r="J656" t="s">
        <v>2279</v>
      </c>
      <c r="K656" t="s">
        <v>2279</v>
      </c>
      <c r="L656" t="s">
        <v>1488</v>
      </c>
      <c r="M656" t="s">
        <v>2279</v>
      </c>
      <c r="N656" t="s">
        <v>2279</v>
      </c>
      <c r="O656" s="190" t="str">
        <f>"["&amp;$C656&amp;"]["&amp;$D656&amp;"]["&amp;$F656&amp;"]"</f>
        <v>[S05_ImprovementReportArt69][8][ImprovementReportType]</v>
      </c>
    </row>
    <row r="657" spans="1:15" x14ac:dyDescent="0.3">
      <c r="A657" t="s">
        <v>2277</v>
      </c>
      <c r="B657" t="s">
        <v>1886</v>
      </c>
      <c r="C657" t="s">
        <v>1887</v>
      </c>
      <c r="D657">
        <v>9</v>
      </c>
      <c r="E657" t="s">
        <v>1447</v>
      </c>
      <c r="F657" t="s">
        <v>1889</v>
      </c>
      <c r="G657" t="s">
        <v>1737</v>
      </c>
      <c r="H657" t="s">
        <v>2279</v>
      </c>
      <c r="I657" t="s">
        <v>2279</v>
      </c>
      <c r="J657" t="s">
        <v>2279</v>
      </c>
      <c r="K657" t="s">
        <v>2279</v>
      </c>
      <c r="L657" t="s">
        <v>1488</v>
      </c>
      <c r="M657" t="s">
        <v>2279</v>
      </c>
      <c r="N657" t="s">
        <v>2279</v>
      </c>
      <c r="O657" s="190" t="str">
        <f>"["&amp;$C657&amp;"]["&amp;$D657&amp;"]["&amp;$F657&amp;"]"</f>
        <v>[S05_ImprovementReportArt69][9][ImprovementReportType]</v>
      </c>
    </row>
    <row r="658" spans="1:15" x14ac:dyDescent="0.3">
      <c r="A658" t="s">
        <v>2277</v>
      </c>
      <c r="B658" t="s">
        <v>1886</v>
      </c>
      <c r="C658" t="s">
        <v>1887</v>
      </c>
      <c r="D658">
        <v>1</v>
      </c>
      <c r="E658" t="s">
        <v>1447</v>
      </c>
      <c r="F658" t="s">
        <v>1890</v>
      </c>
      <c r="G658" t="s">
        <v>1748</v>
      </c>
      <c r="H658" t="s">
        <v>2279</v>
      </c>
      <c r="I658">
        <v>2</v>
      </c>
      <c r="J658" t="s">
        <v>2279</v>
      </c>
      <c r="K658" t="s">
        <v>2279</v>
      </c>
      <c r="L658" t="s">
        <v>2279</v>
      </c>
      <c r="M658" t="s">
        <v>2279</v>
      </c>
      <c r="N658" t="s">
        <v>2279</v>
      </c>
      <c r="O658" s="190" t="str">
        <f>"["&amp;$C658&amp;"]["&amp;$D658&amp;"]["&amp;$F658&amp;"]"</f>
        <v>[S05_ImprovementReportArt69][1][ImprovementReportRequired]</v>
      </c>
    </row>
    <row r="659" spans="1:15" x14ac:dyDescent="0.3">
      <c r="A659" t="s">
        <v>2277</v>
      </c>
      <c r="B659" t="s">
        <v>1886</v>
      </c>
      <c r="C659" t="s">
        <v>1887</v>
      </c>
      <c r="D659">
        <v>2</v>
      </c>
      <c r="E659" t="s">
        <v>1447</v>
      </c>
      <c r="F659" t="s">
        <v>1890</v>
      </c>
      <c r="G659" t="s">
        <v>1748</v>
      </c>
      <c r="H659" t="s">
        <v>2279</v>
      </c>
      <c r="I659">
        <v>2</v>
      </c>
      <c r="J659" t="s">
        <v>2279</v>
      </c>
      <c r="K659" t="s">
        <v>2279</v>
      </c>
      <c r="L659" t="s">
        <v>2279</v>
      </c>
      <c r="M659" t="s">
        <v>2279</v>
      </c>
      <c r="N659" t="s">
        <v>2279</v>
      </c>
      <c r="O659" s="190" t="str">
        <f>"["&amp;$C659&amp;"]["&amp;$D659&amp;"]["&amp;$F659&amp;"]"</f>
        <v>[S05_ImprovementReportArt69][2][ImprovementReportRequired]</v>
      </c>
    </row>
    <row r="660" spans="1:15" x14ac:dyDescent="0.3">
      <c r="A660" t="s">
        <v>2277</v>
      </c>
      <c r="B660" t="s">
        <v>1886</v>
      </c>
      <c r="C660" t="s">
        <v>1887</v>
      </c>
      <c r="D660">
        <v>3</v>
      </c>
      <c r="E660" t="s">
        <v>1447</v>
      </c>
      <c r="F660" t="s">
        <v>1890</v>
      </c>
      <c r="G660" t="s">
        <v>1748</v>
      </c>
      <c r="H660" t="s">
        <v>2279</v>
      </c>
      <c r="I660">
        <v>12</v>
      </c>
      <c r="J660" t="s">
        <v>2279</v>
      </c>
      <c r="K660" t="s">
        <v>2279</v>
      </c>
      <c r="L660" t="s">
        <v>2279</v>
      </c>
      <c r="M660" t="s">
        <v>2279</v>
      </c>
      <c r="N660" t="s">
        <v>2279</v>
      </c>
      <c r="O660" s="190" t="str">
        <f>"["&amp;$C660&amp;"]["&amp;$D660&amp;"]["&amp;$F660&amp;"]"</f>
        <v>[S05_ImprovementReportArt69][3][ImprovementReportRequired]</v>
      </c>
    </row>
    <row r="661" spans="1:15" x14ac:dyDescent="0.3">
      <c r="A661" t="s">
        <v>2277</v>
      </c>
      <c r="B661" t="s">
        <v>1886</v>
      </c>
      <c r="C661" t="s">
        <v>1887</v>
      </c>
      <c r="D661">
        <v>4</v>
      </c>
      <c r="E661" t="s">
        <v>1447</v>
      </c>
      <c r="F661" t="s">
        <v>1890</v>
      </c>
      <c r="G661" t="s">
        <v>1748</v>
      </c>
      <c r="H661" t="s">
        <v>2279</v>
      </c>
      <c r="I661">
        <v>3</v>
      </c>
      <c r="J661" t="s">
        <v>2279</v>
      </c>
      <c r="K661" t="s">
        <v>2279</v>
      </c>
      <c r="L661" t="s">
        <v>2279</v>
      </c>
      <c r="M661" t="s">
        <v>2279</v>
      </c>
      <c r="N661" t="s">
        <v>2279</v>
      </c>
      <c r="O661" s="190" t="str">
        <f>"["&amp;$C661&amp;"]["&amp;$D661&amp;"]["&amp;$F661&amp;"]"</f>
        <v>[S05_ImprovementReportArt69][4][ImprovementReportRequired]</v>
      </c>
    </row>
    <row r="662" spans="1:15" x14ac:dyDescent="0.3">
      <c r="A662" t="s">
        <v>2277</v>
      </c>
      <c r="B662" t="s">
        <v>1886</v>
      </c>
      <c r="C662" t="s">
        <v>1887</v>
      </c>
      <c r="D662">
        <v>5</v>
      </c>
      <c r="E662" t="s">
        <v>1447</v>
      </c>
      <c r="F662" t="s">
        <v>1890</v>
      </c>
      <c r="G662" t="s">
        <v>1748</v>
      </c>
      <c r="H662" t="s">
        <v>2279</v>
      </c>
      <c r="I662">
        <v>2</v>
      </c>
      <c r="J662" t="s">
        <v>2279</v>
      </c>
      <c r="K662" t="s">
        <v>2279</v>
      </c>
      <c r="L662" t="s">
        <v>2279</v>
      </c>
      <c r="M662" t="s">
        <v>2279</v>
      </c>
      <c r="N662" t="s">
        <v>2279</v>
      </c>
      <c r="O662" s="190" t="str">
        <f>"["&amp;$C662&amp;"]["&amp;$D662&amp;"]["&amp;$F662&amp;"]"</f>
        <v>[S05_ImprovementReportArt69][5][ImprovementReportRequired]</v>
      </c>
    </row>
    <row r="663" spans="1:15" x14ac:dyDescent="0.3">
      <c r="A663" t="s">
        <v>2277</v>
      </c>
      <c r="B663" t="s">
        <v>1886</v>
      </c>
      <c r="C663" t="s">
        <v>1887</v>
      </c>
      <c r="D663">
        <v>6</v>
      </c>
      <c r="E663" t="s">
        <v>1447</v>
      </c>
      <c r="F663" t="s">
        <v>1890</v>
      </c>
      <c r="G663" t="s">
        <v>1748</v>
      </c>
      <c r="H663" t="s">
        <v>2279</v>
      </c>
      <c r="I663">
        <v>3</v>
      </c>
      <c r="J663" t="s">
        <v>2279</v>
      </c>
      <c r="K663" t="s">
        <v>2279</v>
      </c>
      <c r="L663" t="s">
        <v>2279</v>
      </c>
      <c r="M663" t="s">
        <v>2279</v>
      </c>
      <c r="N663" t="s">
        <v>2279</v>
      </c>
      <c r="O663" s="190" t="str">
        <f>"["&amp;$C663&amp;"]["&amp;$D663&amp;"]["&amp;$F663&amp;"]"</f>
        <v>[S05_ImprovementReportArt69][6][ImprovementReportRequired]</v>
      </c>
    </row>
    <row r="664" spans="1:15" x14ac:dyDescent="0.3">
      <c r="A664" t="s">
        <v>2277</v>
      </c>
      <c r="B664" t="s">
        <v>1886</v>
      </c>
      <c r="C664" t="s">
        <v>1887</v>
      </c>
      <c r="D664">
        <v>7</v>
      </c>
      <c r="E664" t="s">
        <v>1447</v>
      </c>
      <c r="F664" t="s">
        <v>1890</v>
      </c>
      <c r="G664" t="s">
        <v>1748</v>
      </c>
      <c r="H664" t="s">
        <v>2279</v>
      </c>
      <c r="I664">
        <v>1</v>
      </c>
      <c r="J664" t="s">
        <v>2279</v>
      </c>
      <c r="K664" t="s">
        <v>2279</v>
      </c>
      <c r="L664" t="s">
        <v>2279</v>
      </c>
      <c r="M664" t="s">
        <v>2279</v>
      </c>
      <c r="N664" t="s">
        <v>2279</v>
      </c>
      <c r="O664" s="190" t="str">
        <f>"["&amp;$C664&amp;"]["&amp;$D664&amp;"]["&amp;$F664&amp;"]"</f>
        <v>[S05_ImprovementReportArt69][7][ImprovementReportRequired]</v>
      </c>
    </row>
    <row r="665" spans="1:15" x14ac:dyDescent="0.3">
      <c r="A665" t="s">
        <v>2277</v>
      </c>
      <c r="B665" t="s">
        <v>1886</v>
      </c>
      <c r="C665" t="s">
        <v>1887</v>
      </c>
      <c r="D665">
        <v>8</v>
      </c>
      <c r="E665" t="s">
        <v>1447</v>
      </c>
      <c r="F665" t="s">
        <v>1890</v>
      </c>
      <c r="G665" t="s">
        <v>1748</v>
      </c>
      <c r="H665" t="s">
        <v>2279</v>
      </c>
      <c r="I665">
        <v>1</v>
      </c>
      <c r="J665" t="s">
        <v>2279</v>
      </c>
      <c r="K665" t="s">
        <v>2279</v>
      </c>
      <c r="L665" t="s">
        <v>2279</v>
      </c>
      <c r="M665" t="s">
        <v>2279</v>
      </c>
      <c r="N665" t="s">
        <v>2279</v>
      </c>
      <c r="O665" s="190" t="str">
        <f>"["&amp;$C665&amp;"]["&amp;$D665&amp;"]["&amp;$F665&amp;"]"</f>
        <v>[S05_ImprovementReportArt69][8][ImprovementReportRequired]</v>
      </c>
    </row>
    <row r="666" spans="1:15" x14ac:dyDescent="0.3">
      <c r="A666" t="s">
        <v>2277</v>
      </c>
      <c r="B666" t="s">
        <v>1886</v>
      </c>
      <c r="C666" t="s">
        <v>1887</v>
      </c>
      <c r="D666">
        <v>9</v>
      </c>
      <c r="E666" t="s">
        <v>1447</v>
      </c>
      <c r="F666" t="s">
        <v>1890</v>
      </c>
      <c r="G666" t="s">
        <v>1748</v>
      </c>
      <c r="H666" t="s">
        <v>2279</v>
      </c>
      <c r="I666">
        <v>1</v>
      </c>
      <c r="J666" t="s">
        <v>2279</v>
      </c>
      <c r="K666" t="s">
        <v>2279</v>
      </c>
      <c r="L666" t="s">
        <v>2279</v>
      </c>
      <c r="M666" t="s">
        <v>2279</v>
      </c>
      <c r="N666" t="s">
        <v>2279</v>
      </c>
      <c r="O666" s="190" t="str">
        <f>"["&amp;$C666&amp;"]["&amp;$D666&amp;"]["&amp;$F666&amp;"]"</f>
        <v>[S05_ImprovementReportArt69][9][ImprovementReportRequired]</v>
      </c>
    </row>
    <row r="667" spans="1:15" x14ac:dyDescent="0.3">
      <c r="A667" t="s">
        <v>2277</v>
      </c>
      <c r="B667" t="s">
        <v>1886</v>
      </c>
      <c r="C667" t="s">
        <v>1887</v>
      </c>
      <c r="D667">
        <v>1</v>
      </c>
      <c r="E667" t="s">
        <v>1447</v>
      </c>
      <c r="F667" t="s">
        <v>1891</v>
      </c>
      <c r="G667" t="s">
        <v>1748</v>
      </c>
      <c r="H667" t="s">
        <v>2279</v>
      </c>
      <c r="I667">
        <v>2</v>
      </c>
      <c r="J667" t="s">
        <v>2279</v>
      </c>
      <c r="K667" t="s">
        <v>2279</v>
      </c>
      <c r="L667" t="s">
        <v>2279</v>
      </c>
      <c r="M667" t="s">
        <v>2279</v>
      </c>
      <c r="N667" t="s">
        <v>2279</v>
      </c>
      <c r="O667" s="190" t="str">
        <f>"["&amp;$C667&amp;"]["&amp;$D667&amp;"]["&amp;$F667&amp;"]"</f>
        <v>[S05_ImprovementReportArt69][1][ImprovementReportSubmitted]</v>
      </c>
    </row>
    <row r="668" spans="1:15" x14ac:dyDescent="0.3">
      <c r="A668" t="s">
        <v>2277</v>
      </c>
      <c r="B668" t="s">
        <v>1886</v>
      </c>
      <c r="C668" t="s">
        <v>1887</v>
      </c>
      <c r="D668">
        <v>2</v>
      </c>
      <c r="E668" t="s">
        <v>1447</v>
      </c>
      <c r="F668" t="s">
        <v>1891</v>
      </c>
      <c r="G668" t="s">
        <v>1748</v>
      </c>
      <c r="H668" t="s">
        <v>2279</v>
      </c>
      <c r="I668">
        <v>2</v>
      </c>
      <c r="J668" t="s">
        <v>2279</v>
      </c>
      <c r="K668" t="s">
        <v>2279</v>
      </c>
      <c r="L668" t="s">
        <v>2279</v>
      </c>
      <c r="M668" t="s">
        <v>2279</v>
      </c>
      <c r="N668" t="s">
        <v>2279</v>
      </c>
      <c r="O668" s="190" t="str">
        <f>"["&amp;$C668&amp;"]["&amp;$D668&amp;"]["&amp;$F668&amp;"]"</f>
        <v>[S05_ImprovementReportArt69][2][ImprovementReportSubmitted]</v>
      </c>
    </row>
    <row r="669" spans="1:15" x14ac:dyDescent="0.3">
      <c r="A669" t="s">
        <v>2277</v>
      </c>
      <c r="B669" t="s">
        <v>1886</v>
      </c>
      <c r="C669" t="s">
        <v>1887</v>
      </c>
      <c r="D669">
        <v>3</v>
      </c>
      <c r="E669" t="s">
        <v>1447</v>
      </c>
      <c r="F669" t="s">
        <v>1891</v>
      </c>
      <c r="G669" t="s">
        <v>1748</v>
      </c>
      <c r="H669" t="s">
        <v>2279</v>
      </c>
      <c r="I669">
        <v>12</v>
      </c>
      <c r="J669" t="s">
        <v>2279</v>
      </c>
      <c r="K669" t="s">
        <v>2279</v>
      </c>
      <c r="L669" t="s">
        <v>2279</v>
      </c>
      <c r="M669" t="s">
        <v>2279</v>
      </c>
      <c r="N669" t="s">
        <v>2279</v>
      </c>
      <c r="O669" s="190" t="str">
        <f>"["&amp;$C669&amp;"]["&amp;$D669&amp;"]["&amp;$F669&amp;"]"</f>
        <v>[S05_ImprovementReportArt69][3][ImprovementReportSubmitted]</v>
      </c>
    </row>
    <row r="670" spans="1:15" x14ac:dyDescent="0.3">
      <c r="A670" t="s">
        <v>2277</v>
      </c>
      <c r="B670" t="s">
        <v>1886</v>
      </c>
      <c r="C670" t="s">
        <v>1887</v>
      </c>
      <c r="D670">
        <v>4</v>
      </c>
      <c r="E670" t="s">
        <v>1447</v>
      </c>
      <c r="F670" t="s">
        <v>1891</v>
      </c>
      <c r="G670" t="s">
        <v>1748</v>
      </c>
      <c r="H670" t="s">
        <v>2279</v>
      </c>
      <c r="I670">
        <v>1</v>
      </c>
      <c r="J670" t="s">
        <v>2279</v>
      </c>
      <c r="K670" t="s">
        <v>2279</v>
      </c>
      <c r="L670" t="s">
        <v>2279</v>
      </c>
      <c r="M670" t="s">
        <v>2279</v>
      </c>
      <c r="N670" t="s">
        <v>2279</v>
      </c>
      <c r="O670" s="190" t="str">
        <f>"["&amp;$C670&amp;"]["&amp;$D670&amp;"]["&amp;$F670&amp;"]"</f>
        <v>[S05_ImprovementReportArt69][4][ImprovementReportSubmitted]</v>
      </c>
    </row>
    <row r="671" spans="1:15" x14ac:dyDescent="0.3">
      <c r="A671" t="s">
        <v>2277</v>
      </c>
      <c r="B671" t="s">
        <v>1886</v>
      </c>
      <c r="C671" t="s">
        <v>1887</v>
      </c>
      <c r="D671">
        <v>5</v>
      </c>
      <c r="E671" t="s">
        <v>1447</v>
      </c>
      <c r="F671" t="s">
        <v>1891</v>
      </c>
      <c r="G671" t="s">
        <v>1748</v>
      </c>
      <c r="H671" t="s">
        <v>2279</v>
      </c>
      <c r="I671">
        <v>1</v>
      </c>
      <c r="J671" t="s">
        <v>2279</v>
      </c>
      <c r="K671" t="s">
        <v>2279</v>
      </c>
      <c r="L671" t="s">
        <v>2279</v>
      </c>
      <c r="M671" t="s">
        <v>2279</v>
      </c>
      <c r="N671" t="s">
        <v>2279</v>
      </c>
      <c r="O671" s="190" t="str">
        <f>"["&amp;$C671&amp;"]["&amp;$D671&amp;"]["&amp;$F671&amp;"]"</f>
        <v>[S05_ImprovementReportArt69][5][ImprovementReportSubmitted]</v>
      </c>
    </row>
    <row r="672" spans="1:15" x14ac:dyDescent="0.3">
      <c r="A672" t="s">
        <v>2277</v>
      </c>
      <c r="B672" t="s">
        <v>1886</v>
      </c>
      <c r="C672" t="s">
        <v>1887</v>
      </c>
      <c r="D672">
        <v>6</v>
      </c>
      <c r="E672" t="s">
        <v>1447</v>
      </c>
      <c r="F672" t="s">
        <v>1891</v>
      </c>
      <c r="G672" t="s">
        <v>1748</v>
      </c>
      <c r="H672" t="s">
        <v>2279</v>
      </c>
      <c r="I672">
        <v>3</v>
      </c>
      <c r="J672" t="s">
        <v>2279</v>
      </c>
      <c r="K672" t="s">
        <v>2279</v>
      </c>
      <c r="L672" t="s">
        <v>2279</v>
      </c>
      <c r="M672" t="s">
        <v>2279</v>
      </c>
      <c r="N672" t="s">
        <v>2279</v>
      </c>
      <c r="O672" s="190" t="str">
        <f>"["&amp;$C672&amp;"]["&amp;$D672&amp;"]["&amp;$F672&amp;"]"</f>
        <v>[S05_ImprovementReportArt69][6][ImprovementReportSubmitted]</v>
      </c>
    </row>
    <row r="673" spans="1:15" x14ac:dyDescent="0.3">
      <c r="A673" t="s">
        <v>2277</v>
      </c>
      <c r="B673" t="s">
        <v>1886</v>
      </c>
      <c r="C673" t="s">
        <v>1887</v>
      </c>
      <c r="D673">
        <v>7</v>
      </c>
      <c r="E673" t="s">
        <v>1447</v>
      </c>
      <c r="F673" t="s">
        <v>1891</v>
      </c>
      <c r="G673" t="s">
        <v>1748</v>
      </c>
      <c r="H673" t="s">
        <v>2279</v>
      </c>
      <c r="I673">
        <v>1</v>
      </c>
      <c r="J673" t="s">
        <v>2279</v>
      </c>
      <c r="K673" t="s">
        <v>2279</v>
      </c>
      <c r="L673" t="s">
        <v>2279</v>
      </c>
      <c r="M673" t="s">
        <v>2279</v>
      </c>
      <c r="N673" t="s">
        <v>2279</v>
      </c>
      <c r="O673" s="190" t="str">
        <f>"["&amp;$C673&amp;"]["&amp;$D673&amp;"]["&amp;$F673&amp;"]"</f>
        <v>[S05_ImprovementReportArt69][7][ImprovementReportSubmitted]</v>
      </c>
    </row>
    <row r="674" spans="1:15" x14ac:dyDescent="0.3">
      <c r="A674" t="s">
        <v>2277</v>
      </c>
      <c r="B674" t="s">
        <v>1886</v>
      </c>
      <c r="C674" t="s">
        <v>1887</v>
      </c>
      <c r="D674">
        <v>8</v>
      </c>
      <c r="E674" t="s">
        <v>1447</v>
      </c>
      <c r="F674" t="s">
        <v>1891</v>
      </c>
      <c r="G674" t="s">
        <v>1748</v>
      </c>
      <c r="H674" t="s">
        <v>2279</v>
      </c>
      <c r="I674">
        <v>1</v>
      </c>
      <c r="J674" t="s">
        <v>2279</v>
      </c>
      <c r="K674" t="s">
        <v>2279</v>
      </c>
      <c r="L674" t="s">
        <v>2279</v>
      </c>
      <c r="M674" t="s">
        <v>2279</v>
      </c>
      <c r="N674" t="s">
        <v>2279</v>
      </c>
      <c r="O674" s="190" t="str">
        <f>"["&amp;$C674&amp;"]["&amp;$D674&amp;"]["&amp;$F674&amp;"]"</f>
        <v>[S05_ImprovementReportArt69][8][ImprovementReportSubmitted]</v>
      </c>
    </row>
    <row r="675" spans="1:15" x14ac:dyDescent="0.3">
      <c r="A675" t="s">
        <v>2277</v>
      </c>
      <c r="B675" t="s">
        <v>1886</v>
      </c>
      <c r="C675" t="s">
        <v>1887</v>
      </c>
      <c r="D675">
        <v>9</v>
      </c>
      <c r="E675" t="s">
        <v>1447</v>
      </c>
      <c r="F675" t="s">
        <v>1891</v>
      </c>
      <c r="G675" t="s">
        <v>1748</v>
      </c>
      <c r="H675" t="s">
        <v>2279</v>
      </c>
      <c r="I675">
        <v>0</v>
      </c>
      <c r="J675" t="s">
        <v>2279</v>
      </c>
      <c r="K675" t="s">
        <v>2279</v>
      </c>
      <c r="L675" t="s">
        <v>2279</v>
      </c>
      <c r="M675" t="s">
        <v>2279</v>
      </c>
      <c r="N675" t="s">
        <v>2279</v>
      </c>
      <c r="O675" s="190" t="str">
        <f>"["&amp;$C675&amp;"]["&amp;$D675&amp;"]["&amp;$F675&amp;"]"</f>
        <v>[S05_ImprovementReportArt69][9][ImprovementReportSubmitted]</v>
      </c>
    </row>
    <row r="676" spans="1:15" x14ac:dyDescent="0.3">
      <c r="A676" t="s">
        <v>2277</v>
      </c>
      <c r="B676" t="s">
        <v>1892</v>
      </c>
      <c r="C676" t="s">
        <v>1893</v>
      </c>
      <c r="D676">
        <v>0</v>
      </c>
      <c r="E676" t="s">
        <v>1447</v>
      </c>
      <c r="F676" t="s">
        <v>1893</v>
      </c>
      <c r="G676" t="s">
        <v>1759</v>
      </c>
      <c r="H676" t="s">
        <v>2279</v>
      </c>
      <c r="I676" t="s">
        <v>2279</v>
      </c>
      <c r="J676" t="s">
        <v>2279</v>
      </c>
      <c r="K676" t="s">
        <v>2279</v>
      </c>
      <c r="L676" t="s">
        <v>1447</v>
      </c>
      <c r="M676" t="s">
        <v>2279</v>
      </c>
      <c r="N676" t="s">
        <v>2279</v>
      </c>
      <c r="O676" s="190" t="str">
        <f>"["&amp;$C676&amp;"]["&amp;$D676&amp;"]["&amp;$F676&amp;"]"</f>
        <v>[InherentCarbonTransferred][0][InherentCarbonTransferred]</v>
      </c>
    </row>
    <row r="677" spans="1:15" x14ac:dyDescent="0.3">
      <c r="A677" t="s">
        <v>2277</v>
      </c>
      <c r="B677" t="s">
        <v>1902</v>
      </c>
      <c r="C677" t="s">
        <v>1903</v>
      </c>
      <c r="D677">
        <v>0</v>
      </c>
      <c r="E677" t="s">
        <v>1447</v>
      </c>
      <c r="F677" t="s">
        <v>1903</v>
      </c>
      <c r="G677" t="s">
        <v>1759</v>
      </c>
      <c r="H677" t="s">
        <v>2279</v>
      </c>
      <c r="I677" t="s">
        <v>2279</v>
      </c>
      <c r="J677" t="s">
        <v>2279</v>
      </c>
      <c r="K677" t="s">
        <v>2279</v>
      </c>
      <c r="L677" t="s">
        <v>1419</v>
      </c>
      <c r="M677" t="s">
        <v>2279</v>
      </c>
      <c r="N677" t="s">
        <v>2279</v>
      </c>
      <c r="O677" s="190" t="str">
        <f>"["&amp;$C677&amp;"]["&amp;$D677&amp;"]["&amp;$F677&amp;"]"</f>
        <v>[ContinuousEmissionsMeasurement][0][ContinuousEmissionsMeasurement]</v>
      </c>
    </row>
    <row r="678" spans="1:15" x14ac:dyDescent="0.3">
      <c r="A678" t="s">
        <v>2277</v>
      </c>
      <c r="B678" t="s">
        <v>1902</v>
      </c>
      <c r="C678" t="s">
        <v>1904</v>
      </c>
      <c r="D678">
        <v>1</v>
      </c>
      <c r="E678" t="s">
        <v>1447</v>
      </c>
      <c r="F678" t="s">
        <v>1905</v>
      </c>
      <c r="G678" t="s">
        <v>1741</v>
      </c>
      <c r="H678" t="s">
        <v>2348</v>
      </c>
      <c r="I678" t="s">
        <v>2279</v>
      </c>
      <c r="J678" t="s">
        <v>2279</v>
      </c>
      <c r="K678" t="s">
        <v>2279</v>
      </c>
      <c r="L678" t="s">
        <v>2279</v>
      </c>
      <c r="M678" t="s">
        <v>2279</v>
      </c>
      <c r="N678" t="s">
        <v>2279</v>
      </c>
      <c r="O678" s="190" t="str">
        <f>"["&amp;$C678&amp;"]["&amp;$D678&amp;"]["&amp;$F678&amp;"]"</f>
        <v>[S05_ContinuousEmissionsMeasurementDetail][1][InstallationIDCO2]</v>
      </c>
    </row>
    <row r="679" spans="1:15" x14ac:dyDescent="0.3">
      <c r="A679" t="s">
        <v>2277</v>
      </c>
      <c r="B679" t="s">
        <v>1902</v>
      </c>
      <c r="C679" t="s">
        <v>1904</v>
      </c>
      <c r="D679">
        <v>2</v>
      </c>
      <c r="E679" t="s">
        <v>1447</v>
      </c>
      <c r="F679" t="s">
        <v>1905</v>
      </c>
      <c r="G679" t="s">
        <v>1741</v>
      </c>
      <c r="H679" t="s">
        <v>2349</v>
      </c>
      <c r="I679" t="s">
        <v>2279</v>
      </c>
      <c r="J679" t="s">
        <v>2279</v>
      </c>
      <c r="K679" t="s">
        <v>2279</v>
      </c>
      <c r="L679" t="s">
        <v>2279</v>
      </c>
      <c r="M679" t="s">
        <v>2279</v>
      </c>
      <c r="N679" t="s">
        <v>2279</v>
      </c>
      <c r="O679" s="190" t="str">
        <f>"["&amp;$C679&amp;"]["&amp;$D679&amp;"]["&amp;$F679&amp;"]"</f>
        <v>[S05_ContinuousEmissionsMeasurementDetail][2][InstallationIDCO2]</v>
      </c>
    </row>
    <row r="680" spans="1:15" x14ac:dyDescent="0.3">
      <c r="A680" t="s">
        <v>2277</v>
      </c>
      <c r="B680" t="s">
        <v>1902</v>
      </c>
      <c r="C680" t="s">
        <v>1904</v>
      </c>
      <c r="D680">
        <v>3</v>
      </c>
      <c r="E680" t="s">
        <v>1447</v>
      </c>
      <c r="F680" t="s">
        <v>1905</v>
      </c>
      <c r="G680" t="s">
        <v>1741</v>
      </c>
      <c r="H680" t="s">
        <v>2350</v>
      </c>
      <c r="I680" t="s">
        <v>2279</v>
      </c>
      <c r="J680" t="s">
        <v>2279</v>
      </c>
      <c r="K680" t="s">
        <v>2279</v>
      </c>
      <c r="L680" t="s">
        <v>2279</v>
      </c>
      <c r="M680" t="s">
        <v>2279</v>
      </c>
      <c r="N680" t="s">
        <v>2279</v>
      </c>
      <c r="O680" s="190" t="str">
        <f>"["&amp;$C680&amp;"]["&amp;$D680&amp;"]["&amp;$F680&amp;"]"</f>
        <v>[S05_ContinuousEmissionsMeasurementDetail][3][InstallationIDCO2]</v>
      </c>
    </row>
    <row r="681" spans="1:15" x14ac:dyDescent="0.3">
      <c r="A681" t="s">
        <v>2277</v>
      </c>
      <c r="B681" t="s">
        <v>1902</v>
      </c>
      <c r="C681" t="s">
        <v>1904</v>
      </c>
      <c r="D681">
        <v>4</v>
      </c>
      <c r="E681" t="s">
        <v>1447</v>
      </c>
      <c r="F681" t="s">
        <v>1905</v>
      </c>
      <c r="G681" t="s">
        <v>1741</v>
      </c>
      <c r="H681" t="s">
        <v>2351</v>
      </c>
      <c r="I681" t="s">
        <v>2279</v>
      </c>
      <c r="J681" t="s">
        <v>2279</v>
      </c>
      <c r="K681" t="s">
        <v>2279</v>
      </c>
      <c r="L681" t="s">
        <v>2279</v>
      </c>
      <c r="M681" t="s">
        <v>2279</v>
      </c>
      <c r="N681" t="s">
        <v>2279</v>
      </c>
      <c r="O681" s="190" t="str">
        <f>"["&amp;$C681&amp;"]["&amp;$D681&amp;"]["&amp;$F681&amp;"]"</f>
        <v>[S05_ContinuousEmissionsMeasurementDetail][4][InstallationIDCO2]</v>
      </c>
    </row>
    <row r="682" spans="1:15" x14ac:dyDescent="0.3">
      <c r="A682" t="s">
        <v>2277</v>
      </c>
      <c r="B682" t="s">
        <v>1902</v>
      </c>
      <c r="C682" t="s">
        <v>1904</v>
      </c>
      <c r="D682">
        <v>5</v>
      </c>
      <c r="E682" t="s">
        <v>1447</v>
      </c>
      <c r="F682" t="s">
        <v>1905</v>
      </c>
      <c r="G682" t="s">
        <v>1741</v>
      </c>
      <c r="H682" t="s">
        <v>2352</v>
      </c>
      <c r="I682" t="s">
        <v>2279</v>
      </c>
      <c r="J682" t="s">
        <v>2279</v>
      </c>
      <c r="K682" t="s">
        <v>2279</v>
      </c>
      <c r="L682" t="s">
        <v>2279</v>
      </c>
      <c r="M682" t="s">
        <v>2279</v>
      </c>
      <c r="N682" t="s">
        <v>2279</v>
      </c>
      <c r="O682" s="190" t="str">
        <f>"["&amp;$C682&amp;"]["&amp;$D682&amp;"]["&amp;$F682&amp;"]"</f>
        <v>[S05_ContinuousEmissionsMeasurementDetail][5][InstallationIDCO2]</v>
      </c>
    </row>
    <row r="683" spans="1:15" x14ac:dyDescent="0.3">
      <c r="A683" t="s">
        <v>2277</v>
      </c>
      <c r="B683" t="s">
        <v>1902</v>
      </c>
      <c r="C683" t="s">
        <v>1904</v>
      </c>
      <c r="D683">
        <v>6</v>
      </c>
      <c r="E683" t="s">
        <v>1447</v>
      </c>
      <c r="F683" t="s">
        <v>1905</v>
      </c>
      <c r="G683" t="s">
        <v>1741</v>
      </c>
      <c r="H683" t="s">
        <v>2353</v>
      </c>
      <c r="I683" t="s">
        <v>2279</v>
      </c>
      <c r="J683" t="s">
        <v>2279</v>
      </c>
      <c r="K683" t="s">
        <v>2279</v>
      </c>
      <c r="L683" t="s">
        <v>2279</v>
      </c>
      <c r="M683" t="s">
        <v>2279</v>
      </c>
      <c r="N683" t="s">
        <v>2279</v>
      </c>
      <c r="O683" s="190" t="str">
        <f>"["&amp;$C683&amp;"]["&amp;$D683&amp;"]["&amp;$F683&amp;"]"</f>
        <v>[S05_ContinuousEmissionsMeasurementDetail][6][InstallationIDCO2]</v>
      </c>
    </row>
    <row r="684" spans="1:15" x14ac:dyDescent="0.3">
      <c r="A684" t="s">
        <v>2277</v>
      </c>
      <c r="B684" t="s">
        <v>1902</v>
      </c>
      <c r="C684" t="s">
        <v>1904</v>
      </c>
      <c r="D684">
        <v>7</v>
      </c>
      <c r="E684" t="s">
        <v>1447</v>
      </c>
      <c r="F684" t="s">
        <v>1905</v>
      </c>
      <c r="G684" t="s">
        <v>1741</v>
      </c>
      <c r="H684" t="s">
        <v>2354</v>
      </c>
      <c r="I684" t="s">
        <v>2279</v>
      </c>
      <c r="J684" t="s">
        <v>2279</v>
      </c>
      <c r="K684" t="s">
        <v>2279</v>
      </c>
      <c r="L684" t="s">
        <v>2279</v>
      </c>
      <c r="M684" t="s">
        <v>2279</v>
      </c>
      <c r="N684" t="s">
        <v>2279</v>
      </c>
      <c r="O684" s="190" t="str">
        <f>"["&amp;$C684&amp;"]["&amp;$D684&amp;"]["&amp;$F684&amp;"]"</f>
        <v>[S05_ContinuousEmissionsMeasurementDetail][7][InstallationIDCO2]</v>
      </c>
    </row>
    <row r="685" spans="1:15" x14ac:dyDescent="0.3">
      <c r="A685" t="s">
        <v>2277</v>
      </c>
      <c r="B685" t="s">
        <v>1902</v>
      </c>
      <c r="C685" t="s">
        <v>1904</v>
      </c>
      <c r="D685">
        <v>8</v>
      </c>
      <c r="E685" t="s">
        <v>1447</v>
      </c>
      <c r="F685" t="s">
        <v>1905</v>
      </c>
      <c r="G685" t="s">
        <v>1741</v>
      </c>
      <c r="H685" t="s">
        <v>2355</v>
      </c>
      <c r="I685" t="s">
        <v>2279</v>
      </c>
      <c r="J685" t="s">
        <v>2279</v>
      </c>
      <c r="K685" t="s">
        <v>2279</v>
      </c>
      <c r="L685" t="s">
        <v>2279</v>
      </c>
      <c r="M685" t="s">
        <v>2279</v>
      </c>
      <c r="N685" t="s">
        <v>2279</v>
      </c>
      <c r="O685" s="190" t="str">
        <f>"["&amp;$C685&amp;"]["&amp;$D685&amp;"]["&amp;$F685&amp;"]"</f>
        <v>[S05_ContinuousEmissionsMeasurementDetail][8][InstallationIDCO2]</v>
      </c>
    </row>
    <row r="686" spans="1:15" x14ac:dyDescent="0.3">
      <c r="A686" t="s">
        <v>2277</v>
      </c>
      <c r="B686" t="s">
        <v>1902</v>
      </c>
      <c r="C686" t="s">
        <v>1904</v>
      </c>
      <c r="D686">
        <v>9</v>
      </c>
      <c r="E686" t="s">
        <v>1447</v>
      </c>
      <c r="F686" t="s">
        <v>1905</v>
      </c>
      <c r="G686" t="s">
        <v>1741</v>
      </c>
      <c r="H686" t="s">
        <v>2356</v>
      </c>
      <c r="I686" t="s">
        <v>2279</v>
      </c>
      <c r="J686" t="s">
        <v>2279</v>
      </c>
      <c r="K686" t="s">
        <v>2279</v>
      </c>
      <c r="L686" t="s">
        <v>2279</v>
      </c>
      <c r="M686" t="s">
        <v>2279</v>
      </c>
      <c r="N686" t="s">
        <v>2279</v>
      </c>
      <c r="O686" s="190" t="str">
        <f>"["&amp;$C686&amp;"]["&amp;$D686&amp;"]["&amp;$F686&amp;"]"</f>
        <v>[S05_ContinuousEmissionsMeasurementDetail][9][InstallationIDCO2]</v>
      </c>
    </row>
    <row r="687" spans="1:15" x14ac:dyDescent="0.3">
      <c r="A687" t="s">
        <v>2277</v>
      </c>
      <c r="B687" t="s">
        <v>1902</v>
      </c>
      <c r="C687" t="s">
        <v>1904</v>
      </c>
      <c r="D687">
        <v>10</v>
      </c>
      <c r="E687" t="s">
        <v>1447</v>
      </c>
      <c r="F687" t="s">
        <v>1905</v>
      </c>
      <c r="G687" t="s">
        <v>1741</v>
      </c>
      <c r="H687" t="s">
        <v>2357</v>
      </c>
      <c r="I687" t="s">
        <v>2279</v>
      </c>
      <c r="J687" t="s">
        <v>2279</v>
      </c>
      <c r="K687" t="s">
        <v>2279</v>
      </c>
      <c r="L687" t="s">
        <v>2279</v>
      </c>
      <c r="M687" t="s">
        <v>2279</v>
      </c>
      <c r="N687" t="s">
        <v>2279</v>
      </c>
      <c r="O687" s="190" t="str">
        <f>"["&amp;$C687&amp;"]["&amp;$D687&amp;"]["&amp;$F687&amp;"]"</f>
        <v>[S05_ContinuousEmissionsMeasurementDetail][10][InstallationIDCO2]</v>
      </c>
    </row>
    <row r="688" spans="1:15" x14ac:dyDescent="0.3">
      <c r="A688" t="s">
        <v>2277</v>
      </c>
      <c r="B688" t="s">
        <v>1902</v>
      </c>
      <c r="C688" t="s">
        <v>1904</v>
      </c>
      <c r="D688">
        <v>11</v>
      </c>
      <c r="E688" t="s">
        <v>1447</v>
      </c>
      <c r="F688" t="s">
        <v>1905</v>
      </c>
      <c r="G688" t="s">
        <v>1741</v>
      </c>
      <c r="H688" t="s">
        <v>2358</v>
      </c>
      <c r="I688" t="s">
        <v>2279</v>
      </c>
      <c r="J688" t="s">
        <v>2279</v>
      </c>
      <c r="K688" t="s">
        <v>2279</v>
      </c>
      <c r="L688" t="s">
        <v>2279</v>
      </c>
      <c r="M688" t="s">
        <v>2279</v>
      </c>
      <c r="N688" t="s">
        <v>2279</v>
      </c>
      <c r="O688" s="190" t="str">
        <f>"["&amp;$C688&amp;"]["&amp;$D688&amp;"]["&amp;$F688&amp;"]"</f>
        <v>[S05_ContinuousEmissionsMeasurementDetail][11][InstallationIDCO2]</v>
      </c>
    </row>
    <row r="689" spans="1:15" x14ac:dyDescent="0.3">
      <c r="A689" t="s">
        <v>2277</v>
      </c>
      <c r="B689" t="s">
        <v>1902</v>
      </c>
      <c r="C689" t="s">
        <v>1904</v>
      </c>
      <c r="D689">
        <v>12</v>
      </c>
      <c r="E689" t="s">
        <v>1447</v>
      </c>
      <c r="F689" t="s">
        <v>1905</v>
      </c>
      <c r="G689" t="s">
        <v>1741</v>
      </c>
      <c r="H689" t="s">
        <v>2359</v>
      </c>
      <c r="I689" t="s">
        <v>2279</v>
      </c>
      <c r="J689" t="s">
        <v>2279</v>
      </c>
      <c r="K689" t="s">
        <v>2279</v>
      </c>
      <c r="L689" t="s">
        <v>2279</v>
      </c>
      <c r="M689" t="s">
        <v>2279</v>
      </c>
      <c r="N689" t="s">
        <v>2279</v>
      </c>
      <c r="O689" s="190" t="str">
        <f>"["&amp;$C689&amp;"]["&amp;$D689&amp;"]["&amp;$F689&amp;"]"</f>
        <v>[S05_ContinuousEmissionsMeasurementDetail][12][InstallationIDCO2]</v>
      </c>
    </row>
    <row r="690" spans="1:15" x14ac:dyDescent="0.3">
      <c r="A690" t="s">
        <v>2277</v>
      </c>
      <c r="B690" t="s">
        <v>1902</v>
      </c>
      <c r="C690" t="s">
        <v>1904</v>
      </c>
      <c r="D690">
        <v>13</v>
      </c>
      <c r="E690" t="s">
        <v>1447</v>
      </c>
      <c r="F690" t="s">
        <v>1905</v>
      </c>
      <c r="G690" t="s">
        <v>1741</v>
      </c>
      <c r="H690" t="s">
        <v>2360</v>
      </c>
      <c r="I690" t="s">
        <v>2279</v>
      </c>
      <c r="J690" t="s">
        <v>2279</v>
      </c>
      <c r="K690" t="s">
        <v>2279</v>
      </c>
      <c r="L690" t="s">
        <v>2279</v>
      </c>
      <c r="M690" t="s">
        <v>2279</v>
      </c>
      <c r="N690" t="s">
        <v>2279</v>
      </c>
      <c r="O690" s="190" t="str">
        <f>"["&amp;$C690&amp;"]["&amp;$D690&amp;"]["&amp;$F690&amp;"]"</f>
        <v>[S05_ContinuousEmissionsMeasurementDetail][13][InstallationIDCO2]</v>
      </c>
    </row>
    <row r="691" spans="1:15" x14ac:dyDescent="0.3">
      <c r="A691" t="s">
        <v>2277</v>
      </c>
      <c r="B691" t="s">
        <v>1902</v>
      </c>
      <c r="C691" t="s">
        <v>1904</v>
      </c>
      <c r="D691">
        <v>14</v>
      </c>
      <c r="E691" t="s">
        <v>1447</v>
      </c>
      <c r="F691" t="s">
        <v>1905</v>
      </c>
      <c r="G691" t="s">
        <v>1741</v>
      </c>
      <c r="H691" t="s">
        <v>2361</v>
      </c>
      <c r="I691" t="s">
        <v>2279</v>
      </c>
      <c r="J691" t="s">
        <v>2279</v>
      </c>
      <c r="K691" t="s">
        <v>2279</v>
      </c>
      <c r="L691" t="s">
        <v>2279</v>
      </c>
      <c r="M691" t="s">
        <v>2279</v>
      </c>
      <c r="N691" t="s">
        <v>2279</v>
      </c>
      <c r="O691" s="190" t="str">
        <f>"["&amp;$C691&amp;"]["&amp;$D691&amp;"]["&amp;$F691&amp;"]"</f>
        <v>[S05_ContinuousEmissionsMeasurementDetail][14][InstallationIDCO2]</v>
      </c>
    </row>
    <row r="692" spans="1:15" x14ac:dyDescent="0.3">
      <c r="A692" t="s">
        <v>2277</v>
      </c>
      <c r="B692" t="s">
        <v>1902</v>
      </c>
      <c r="C692" t="s">
        <v>1904</v>
      </c>
      <c r="D692">
        <v>15</v>
      </c>
      <c r="E692" t="s">
        <v>1447</v>
      </c>
      <c r="F692" t="s">
        <v>1905</v>
      </c>
      <c r="G692" t="s">
        <v>1741</v>
      </c>
      <c r="H692" t="s">
        <v>2362</v>
      </c>
      <c r="I692" t="s">
        <v>2279</v>
      </c>
      <c r="J692" t="s">
        <v>2279</v>
      </c>
      <c r="K692" t="s">
        <v>2279</v>
      </c>
      <c r="L692" t="s">
        <v>2279</v>
      </c>
      <c r="M692" t="s">
        <v>2279</v>
      </c>
      <c r="N692" t="s">
        <v>2279</v>
      </c>
      <c r="O692" s="190" t="str">
        <f>"["&amp;$C692&amp;"]["&amp;$D692&amp;"]["&amp;$F692&amp;"]"</f>
        <v>[S05_ContinuousEmissionsMeasurementDetail][15][InstallationIDCO2]</v>
      </c>
    </row>
    <row r="693" spans="1:15" x14ac:dyDescent="0.3">
      <c r="A693" t="s">
        <v>2277</v>
      </c>
      <c r="B693" t="s">
        <v>1902</v>
      </c>
      <c r="C693" t="s">
        <v>1904</v>
      </c>
      <c r="D693">
        <v>16</v>
      </c>
      <c r="E693" t="s">
        <v>1447</v>
      </c>
      <c r="F693" t="s">
        <v>1905</v>
      </c>
      <c r="G693" t="s">
        <v>1741</v>
      </c>
      <c r="H693" t="s">
        <v>2373</v>
      </c>
      <c r="I693" t="s">
        <v>2279</v>
      </c>
      <c r="J693" t="s">
        <v>2279</v>
      </c>
      <c r="K693" t="s">
        <v>2279</v>
      </c>
      <c r="L693" t="s">
        <v>2279</v>
      </c>
      <c r="M693" t="s">
        <v>2279</v>
      </c>
      <c r="N693" t="s">
        <v>2279</v>
      </c>
      <c r="O693" s="190" t="str">
        <f>"["&amp;$C693&amp;"]["&amp;$D693&amp;"]["&amp;$F693&amp;"]"</f>
        <v>[S05_ContinuousEmissionsMeasurementDetail][16][InstallationIDCO2]</v>
      </c>
    </row>
    <row r="694" spans="1:15" x14ac:dyDescent="0.3">
      <c r="A694" t="s">
        <v>2277</v>
      </c>
      <c r="B694" t="s">
        <v>1902</v>
      </c>
      <c r="C694" t="s">
        <v>1904</v>
      </c>
      <c r="D694">
        <v>17</v>
      </c>
      <c r="E694" t="s">
        <v>1447</v>
      </c>
      <c r="F694" t="s">
        <v>1905</v>
      </c>
      <c r="G694" t="s">
        <v>1741</v>
      </c>
      <c r="H694" t="s">
        <v>2374</v>
      </c>
      <c r="I694" t="s">
        <v>2279</v>
      </c>
      <c r="J694" t="s">
        <v>2279</v>
      </c>
      <c r="K694" t="s">
        <v>2279</v>
      </c>
      <c r="L694" t="s">
        <v>2279</v>
      </c>
      <c r="M694" t="s">
        <v>2279</v>
      </c>
      <c r="N694" t="s">
        <v>2279</v>
      </c>
      <c r="O694" s="190" t="str">
        <f>"["&amp;$C694&amp;"]["&amp;$D694&amp;"]["&amp;$F694&amp;"]"</f>
        <v>[S05_ContinuousEmissionsMeasurementDetail][17][InstallationIDCO2]</v>
      </c>
    </row>
    <row r="695" spans="1:15" x14ac:dyDescent="0.3">
      <c r="A695" t="s">
        <v>2277</v>
      </c>
      <c r="B695" t="s">
        <v>1902</v>
      </c>
      <c r="C695" t="s">
        <v>1904</v>
      </c>
      <c r="D695">
        <v>18</v>
      </c>
      <c r="E695" t="s">
        <v>1447</v>
      </c>
      <c r="F695" t="s">
        <v>1905</v>
      </c>
      <c r="G695" t="s">
        <v>1741</v>
      </c>
      <c r="H695" t="s">
        <v>2375</v>
      </c>
      <c r="I695" t="s">
        <v>2279</v>
      </c>
      <c r="J695" t="s">
        <v>2279</v>
      </c>
      <c r="K695" t="s">
        <v>2279</v>
      </c>
      <c r="L695" t="s">
        <v>2279</v>
      </c>
      <c r="M695" t="s">
        <v>2279</v>
      </c>
      <c r="N695" t="s">
        <v>2279</v>
      </c>
      <c r="O695" s="190" t="str">
        <f>"["&amp;$C695&amp;"]["&amp;$D695&amp;"]["&amp;$F695&amp;"]"</f>
        <v>[S05_ContinuousEmissionsMeasurementDetail][18][InstallationIDCO2]</v>
      </c>
    </row>
    <row r="696" spans="1:15" x14ac:dyDescent="0.3">
      <c r="A696" t="s">
        <v>2277</v>
      </c>
      <c r="B696" t="s">
        <v>1902</v>
      </c>
      <c r="C696" t="s">
        <v>1904</v>
      </c>
      <c r="D696">
        <v>19</v>
      </c>
      <c r="E696" t="s">
        <v>1447</v>
      </c>
      <c r="F696" t="s">
        <v>1906</v>
      </c>
      <c r="G696" t="s">
        <v>1741</v>
      </c>
      <c r="H696" t="s">
        <v>2376</v>
      </c>
      <c r="I696" t="s">
        <v>2279</v>
      </c>
      <c r="J696" t="s">
        <v>2279</v>
      </c>
      <c r="K696" t="s">
        <v>2279</v>
      </c>
      <c r="L696" t="s">
        <v>2279</v>
      </c>
      <c r="M696" t="s">
        <v>2279</v>
      </c>
      <c r="N696" t="s">
        <v>2279</v>
      </c>
      <c r="O696" s="190" t="str">
        <f>"["&amp;$C696&amp;"]["&amp;$D696&amp;"]["&amp;$F696&amp;"]"</f>
        <v>[S05_ContinuousEmissionsMeasurementDetail][19][InstallationIDN2O]</v>
      </c>
    </row>
    <row r="697" spans="1:15" x14ac:dyDescent="0.3">
      <c r="A697" t="s">
        <v>2277</v>
      </c>
      <c r="B697" t="s">
        <v>1902</v>
      </c>
      <c r="C697" t="s">
        <v>1904</v>
      </c>
      <c r="D697">
        <v>20</v>
      </c>
      <c r="E697" t="s">
        <v>1447</v>
      </c>
      <c r="F697" t="s">
        <v>1906</v>
      </c>
      <c r="G697" t="s">
        <v>1741</v>
      </c>
      <c r="H697" t="s">
        <v>2377</v>
      </c>
      <c r="I697" t="s">
        <v>2279</v>
      </c>
      <c r="J697" t="s">
        <v>2279</v>
      </c>
      <c r="K697" t="s">
        <v>2279</v>
      </c>
      <c r="L697" t="s">
        <v>2279</v>
      </c>
      <c r="M697" t="s">
        <v>2279</v>
      </c>
      <c r="N697" t="s">
        <v>2279</v>
      </c>
      <c r="O697" s="190" t="str">
        <f>"["&amp;$C697&amp;"]["&amp;$D697&amp;"]["&amp;$F697&amp;"]"</f>
        <v>[S05_ContinuousEmissionsMeasurementDetail][20][InstallationIDN2O]</v>
      </c>
    </row>
    <row r="698" spans="1:15" x14ac:dyDescent="0.3">
      <c r="A698" t="s">
        <v>2277</v>
      </c>
      <c r="B698" t="s">
        <v>1902</v>
      </c>
      <c r="C698" t="s">
        <v>1904</v>
      </c>
      <c r="D698">
        <v>21</v>
      </c>
      <c r="E698" t="s">
        <v>1447</v>
      </c>
      <c r="F698" t="s">
        <v>1906</v>
      </c>
      <c r="G698" t="s">
        <v>1741</v>
      </c>
      <c r="H698" t="s">
        <v>2378</v>
      </c>
      <c r="I698" t="s">
        <v>2279</v>
      </c>
      <c r="J698" t="s">
        <v>2279</v>
      </c>
      <c r="K698" t="s">
        <v>2279</v>
      </c>
      <c r="L698" t="s">
        <v>2279</v>
      </c>
      <c r="M698" t="s">
        <v>2279</v>
      </c>
      <c r="N698" t="s">
        <v>2279</v>
      </c>
      <c r="O698" s="190" t="str">
        <f>"["&amp;$C698&amp;"]["&amp;$D698&amp;"]["&amp;$F698&amp;"]"</f>
        <v>[S05_ContinuousEmissionsMeasurementDetail][21][InstallationIDN2O]</v>
      </c>
    </row>
    <row r="699" spans="1:15" x14ac:dyDescent="0.3">
      <c r="A699" t="s">
        <v>2277</v>
      </c>
      <c r="B699" t="s">
        <v>1902</v>
      </c>
      <c r="C699" t="s">
        <v>1904</v>
      </c>
      <c r="D699">
        <v>22</v>
      </c>
      <c r="E699" t="s">
        <v>1447</v>
      </c>
      <c r="F699" t="s">
        <v>1906</v>
      </c>
      <c r="G699" t="s">
        <v>1741</v>
      </c>
      <c r="H699" t="s">
        <v>2379</v>
      </c>
      <c r="I699" t="s">
        <v>2279</v>
      </c>
      <c r="J699" t="s">
        <v>2279</v>
      </c>
      <c r="K699" t="s">
        <v>2279</v>
      </c>
      <c r="L699" t="s">
        <v>2279</v>
      </c>
      <c r="M699" t="s">
        <v>2279</v>
      </c>
      <c r="N699" t="s">
        <v>2279</v>
      </c>
      <c r="O699" s="190" t="str">
        <f>"["&amp;$C699&amp;"]["&amp;$D699&amp;"]["&amp;$F699&amp;"]"</f>
        <v>[S05_ContinuousEmissionsMeasurementDetail][22][InstallationIDN2O]</v>
      </c>
    </row>
    <row r="700" spans="1:15" x14ac:dyDescent="0.3">
      <c r="A700" t="s">
        <v>2277</v>
      </c>
      <c r="B700" t="s">
        <v>1902</v>
      </c>
      <c r="C700" t="s">
        <v>1904</v>
      </c>
      <c r="D700">
        <v>1</v>
      </c>
      <c r="E700" t="s">
        <v>1447</v>
      </c>
      <c r="F700" t="s">
        <v>1907</v>
      </c>
      <c r="G700" t="s">
        <v>1806</v>
      </c>
      <c r="H700" t="s">
        <v>2279</v>
      </c>
      <c r="I700" t="s">
        <v>2279</v>
      </c>
      <c r="J700">
        <v>2237282.9532592599</v>
      </c>
      <c r="K700" t="s">
        <v>2279</v>
      </c>
      <c r="L700" t="s">
        <v>2279</v>
      </c>
      <c r="M700" t="s">
        <v>2279</v>
      </c>
      <c r="N700" t="s">
        <v>2279</v>
      </c>
      <c r="O700" s="190" t="str">
        <f>"["&amp;$C700&amp;"]["&amp;$D700&amp;"]["&amp;$F700&amp;"]"</f>
        <v>[S05_ContinuousEmissionsMeasurementDetail][1][TotalEmissionsCO2E]</v>
      </c>
    </row>
    <row r="701" spans="1:15" x14ac:dyDescent="0.3">
      <c r="A701" t="s">
        <v>2277</v>
      </c>
      <c r="B701" t="s">
        <v>1902</v>
      </c>
      <c r="C701" t="s">
        <v>1904</v>
      </c>
      <c r="D701">
        <v>2</v>
      </c>
      <c r="E701" t="s">
        <v>1447</v>
      </c>
      <c r="F701" t="s">
        <v>1907</v>
      </c>
      <c r="G701" t="s">
        <v>1806</v>
      </c>
      <c r="H701" t="s">
        <v>2279</v>
      </c>
      <c r="I701" t="s">
        <v>2279</v>
      </c>
      <c r="J701">
        <v>1691751.8103721701</v>
      </c>
      <c r="K701" t="s">
        <v>2279</v>
      </c>
      <c r="L701" t="s">
        <v>2279</v>
      </c>
      <c r="M701" t="s">
        <v>2279</v>
      </c>
      <c r="N701" t="s">
        <v>2279</v>
      </c>
      <c r="O701" s="190" t="str">
        <f>"["&amp;$C701&amp;"]["&amp;$D701&amp;"]["&amp;$F701&amp;"]"</f>
        <v>[S05_ContinuousEmissionsMeasurementDetail][2][TotalEmissionsCO2E]</v>
      </c>
    </row>
    <row r="702" spans="1:15" x14ac:dyDescent="0.3">
      <c r="A702" t="s">
        <v>2277</v>
      </c>
      <c r="B702" t="s">
        <v>1902</v>
      </c>
      <c r="C702" t="s">
        <v>1904</v>
      </c>
      <c r="D702">
        <v>3</v>
      </c>
      <c r="E702" t="s">
        <v>1447</v>
      </c>
      <c r="F702" t="s">
        <v>1907</v>
      </c>
      <c r="G702" t="s">
        <v>1806</v>
      </c>
      <c r="H702" t="s">
        <v>2279</v>
      </c>
      <c r="I702" t="s">
        <v>2279</v>
      </c>
      <c r="J702">
        <v>734152.49607816001</v>
      </c>
      <c r="K702" t="s">
        <v>2279</v>
      </c>
      <c r="L702" t="s">
        <v>2279</v>
      </c>
      <c r="M702" t="s">
        <v>2279</v>
      </c>
      <c r="N702" t="s">
        <v>2279</v>
      </c>
      <c r="O702" s="190" t="str">
        <f>"["&amp;$C702&amp;"]["&amp;$D702&amp;"]["&amp;$F702&amp;"]"</f>
        <v>[S05_ContinuousEmissionsMeasurementDetail][3][TotalEmissionsCO2E]</v>
      </c>
    </row>
    <row r="703" spans="1:15" x14ac:dyDescent="0.3">
      <c r="A703" t="s">
        <v>2277</v>
      </c>
      <c r="B703" t="s">
        <v>1902</v>
      </c>
      <c r="C703" t="s">
        <v>1904</v>
      </c>
      <c r="D703">
        <v>4</v>
      </c>
      <c r="E703" t="s">
        <v>1447</v>
      </c>
      <c r="F703" t="s">
        <v>1907</v>
      </c>
      <c r="G703" t="s">
        <v>1806</v>
      </c>
      <c r="H703" t="s">
        <v>2279</v>
      </c>
      <c r="I703" t="s">
        <v>2279</v>
      </c>
      <c r="J703">
        <v>1563087.1125796</v>
      </c>
      <c r="K703" t="s">
        <v>2279</v>
      </c>
      <c r="L703" t="s">
        <v>2279</v>
      </c>
      <c r="M703" t="s">
        <v>2279</v>
      </c>
      <c r="N703" t="s">
        <v>2279</v>
      </c>
      <c r="O703" s="190" t="str">
        <f>"["&amp;$C703&amp;"]["&amp;$D703&amp;"]["&amp;$F703&amp;"]"</f>
        <v>[S05_ContinuousEmissionsMeasurementDetail][4][TotalEmissionsCO2E]</v>
      </c>
    </row>
    <row r="704" spans="1:15" x14ac:dyDescent="0.3">
      <c r="A704" t="s">
        <v>2277</v>
      </c>
      <c r="B704" t="s">
        <v>1902</v>
      </c>
      <c r="C704" t="s">
        <v>1904</v>
      </c>
      <c r="D704">
        <v>5</v>
      </c>
      <c r="E704" t="s">
        <v>1447</v>
      </c>
      <c r="F704" t="s">
        <v>1907</v>
      </c>
      <c r="G704" t="s">
        <v>1806</v>
      </c>
      <c r="H704" t="s">
        <v>2279</v>
      </c>
      <c r="I704" t="s">
        <v>2279</v>
      </c>
      <c r="J704">
        <v>474975.79946073698</v>
      </c>
      <c r="K704" t="s">
        <v>2279</v>
      </c>
      <c r="L704" t="s">
        <v>2279</v>
      </c>
      <c r="M704" t="s">
        <v>2279</v>
      </c>
      <c r="N704" t="s">
        <v>2279</v>
      </c>
      <c r="O704" s="190" t="str">
        <f>"["&amp;$C704&amp;"]["&amp;$D704&amp;"]["&amp;$F704&amp;"]"</f>
        <v>[S05_ContinuousEmissionsMeasurementDetail][5][TotalEmissionsCO2E]</v>
      </c>
    </row>
    <row r="705" spans="1:15" x14ac:dyDescent="0.3">
      <c r="A705" t="s">
        <v>2277</v>
      </c>
      <c r="B705" t="s">
        <v>1902</v>
      </c>
      <c r="C705" t="s">
        <v>1904</v>
      </c>
      <c r="D705">
        <v>6</v>
      </c>
      <c r="E705" t="s">
        <v>1447</v>
      </c>
      <c r="F705" t="s">
        <v>1907</v>
      </c>
      <c r="G705" t="s">
        <v>1806</v>
      </c>
      <c r="H705" t="s">
        <v>2279</v>
      </c>
      <c r="I705" t="s">
        <v>2279</v>
      </c>
      <c r="J705">
        <v>1165575.79974361</v>
      </c>
      <c r="K705" t="s">
        <v>2279</v>
      </c>
      <c r="L705" t="s">
        <v>2279</v>
      </c>
      <c r="M705" t="s">
        <v>2279</v>
      </c>
      <c r="N705" t="s">
        <v>2279</v>
      </c>
      <c r="O705" s="190" t="str">
        <f>"["&amp;$C705&amp;"]["&amp;$D705&amp;"]["&amp;$F705&amp;"]"</f>
        <v>[S05_ContinuousEmissionsMeasurementDetail][6][TotalEmissionsCO2E]</v>
      </c>
    </row>
    <row r="706" spans="1:15" x14ac:dyDescent="0.3">
      <c r="A706" t="s">
        <v>2277</v>
      </c>
      <c r="B706" t="s">
        <v>1902</v>
      </c>
      <c r="C706" t="s">
        <v>1904</v>
      </c>
      <c r="D706">
        <v>7</v>
      </c>
      <c r="E706" t="s">
        <v>1447</v>
      </c>
      <c r="F706" t="s">
        <v>1907</v>
      </c>
      <c r="G706" t="s">
        <v>1806</v>
      </c>
      <c r="H706" t="s">
        <v>2279</v>
      </c>
      <c r="I706" t="s">
        <v>2279</v>
      </c>
      <c r="J706">
        <v>3398295.0064153299</v>
      </c>
      <c r="K706" t="s">
        <v>2279</v>
      </c>
      <c r="L706" t="s">
        <v>2279</v>
      </c>
      <c r="M706" t="s">
        <v>2279</v>
      </c>
      <c r="N706" t="s">
        <v>2279</v>
      </c>
      <c r="O706" s="190" t="str">
        <f>"["&amp;$C706&amp;"]["&amp;$D706&amp;"]["&amp;$F706&amp;"]"</f>
        <v>[S05_ContinuousEmissionsMeasurementDetail][7][TotalEmissionsCO2E]</v>
      </c>
    </row>
    <row r="707" spans="1:15" x14ac:dyDescent="0.3">
      <c r="A707" t="s">
        <v>2277</v>
      </c>
      <c r="B707" t="s">
        <v>1902</v>
      </c>
      <c r="C707" t="s">
        <v>1904</v>
      </c>
      <c r="D707">
        <v>8</v>
      </c>
      <c r="E707" t="s">
        <v>1447</v>
      </c>
      <c r="F707" t="s">
        <v>1907</v>
      </c>
      <c r="G707" t="s">
        <v>1806</v>
      </c>
      <c r="H707" t="s">
        <v>2279</v>
      </c>
      <c r="I707" t="s">
        <v>2279</v>
      </c>
      <c r="J707">
        <v>3781199.16968711</v>
      </c>
      <c r="K707" t="s">
        <v>2279</v>
      </c>
      <c r="L707" t="s">
        <v>2279</v>
      </c>
      <c r="M707" t="s">
        <v>2279</v>
      </c>
      <c r="N707" t="s">
        <v>2279</v>
      </c>
      <c r="O707" s="190" t="str">
        <f>"["&amp;$C707&amp;"]["&amp;$D707&amp;"]["&amp;$F707&amp;"]"</f>
        <v>[S05_ContinuousEmissionsMeasurementDetail][8][TotalEmissionsCO2E]</v>
      </c>
    </row>
    <row r="708" spans="1:15" x14ac:dyDescent="0.3">
      <c r="A708" t="s">
        <v>2277</v>
      </c>
      <c r="B708" t="s">
        <v>1902</v>
      </c>
      <c r="C708" t="s">
        <v>1904</v>
      </c>
      <c r="D708">
        <v>9</v>
      </c>
      <c r="E708" t="s">
        <v>1447</v>
      </c>
      <c r="F708" t="s">
        <v>1907</v>
      </c>
      <c r="G708" t="s">
        <v>1806</v>
      </c>
      <c r="H708" t="s">
        <v>2279</v>
      </c>
      <c r="I708" t="s">
        <v>2279</v>
      </c>
      <c r="J708">
        <v>679985.38651511294</v>
      </c>
      <c r="K708" t="s">
        <v>2279</v>
      </c>
      <c r="L708" t="s">
        <v>2279</v>
      </c>
      <c r="M708" t="s">
        <v>2279</v>
      </c>
      <c r="N708" t="s">
        <v>2279</v>
      </c>
      <c r="O708" s="190" t="str">
        <f>"["&amp;$C708&amp;"]["&amp;$D708&amp;"]["&amp;$F708&amp;"]"</f>
        <v>[S05_ContinuousEmissionsMeasurementDetail][9][TotalEmissionsCO2E]</v>
      </c>
    </row>
    <row r="709" spans="1:15" x14ac:dyDescent="0.3">
      <c r="A709" t="s">
        <v>2277</v>
      </c>
      <c r="B709" t="s">
        <v>1902</v>
      </c>
      <c r="C709" t="s">
        <v>1904</v>
      </c>
      <c r="D709">
        <v>10</v>
      </c>
      <c r="E709" t="s">
        <v>1447</v>
      </c>
      <c r="F709" t="s">
        <v>1907</v>
      </c>
      <c r="G709" t="s">
        <v>1806</v>
      </c>
      <c r="H709" t="s">
        <v>2279</v>
      </c>
      <c r="I709" t="s">
        <v>2279</v>
      </c>
      <c r="J709">
        <v>147331.01096110599</v>
      </c>
      <c r="K709" t="s">
        <v>2279</v>
      </c>
      <c r="L709" t="s">
        <v>2279</v>
      </c>
      <c r="M709" t="s">
        <v>2279</v>
      </c>
      <c r="N709" t="s">
        <v>2279</v>
      </c>
      <c r="O709" s="190" t="str">
        <f>"["&amp;$C709&amp;"]["&amp;$D709&amp;"]["&amp;$F709&amp;"]"</f>
        <v>[S05_ContinuousEmissionsMeasurementDetail][10][TotalEmissionsCO2E]</v>
      </c>
    </row>
    <row r="710" spans="1:15" x14ac:dyDescent="0.3">
      <c r="A710" t="s">
        <v>2277</v>
      </c>
      <c r="B710" t="s">
        <v>1902</v>
      </c>
      <c r="C710" t="s">
        <v>1904</v>
      </c>
      <c r="D710">
        <v>11</v>
      </c>
      <c r="E710" t="s">
        <v>1447</v>
      </c>
      <c r="F710" t="s">
        <v>1907</v>
      </c>
      <c r="G710" t="s">
        <v>1806</v>
      </c>
      <c r="H710" t="s">
        <v>2279</v>
      </c>
      <c r="I710" t="s">
        <v>2279</v>
      </c>
      <c r="J710">
        <v>4419807.0706632202</v>
      </c>
      <c r="K710" t="s">
        <v>2279</v>
      </c>
      <c r="L710" t="s">
        <v>2279</v>
      </c>
      <c r="M710" t="s">
        <v>2279</v>
      </c>
      <c r="N710" t="s">
        <v>2279</v>
      </c>
      <c r="O710" s="190" t="str">
        <f>"["&amp;$C710&amp;"]["&amp;$D710&amp;"]["&amp;$F710&amp;"]"</f>
        <v>[S05_ContinuousEmissionsMeasurementDetail][11][TotalEmissionsCO2E]</v>
      </c>
    </row>
    <row r="711" spans="1:15" x14ac:dyDescent="0.3">
      <c r="A711" t="s">
        <v>2277</v>
      </c>
      <c r="B711" t="s">
        <v>1902</v>
      </c>
      <c r="C711" t="s">
        <v>1904</v>
      </c>
      <c r="D711">
        <v>12</v>
      </c>
      <c r="E711" t="s">
        <v>1447</v>
      </c>
      <c r="F711" t="s">
        <v>1907</v>
      </c>
      <c r="G711" t="s">
        <v>1806</v>
      </c>
      <c r="H711" t="s">
        <v>2279</v>
      </c>
      <c r="I711" t="s">
        <v>2279</v>
      </c>
      <c r="J711">
        <v>703432.79781451705</v>
      </c>
      <c r="K711" t="s">
        <v>2279</v>
      </c>
      <c r="L711" t="s">
        <v>2279</v>
      </c>
      <c r="M711" t="s">
        <v>2279</v>
      </c>
      <c r="N711" t="s">
        <v>2279</v>
      </c>
      <c r="O711" s="190" t="str">
        <f>"["&amp;$C711&amp;"]["&amp;$D711&amp;"]["&amp;$F711&amp;"]"</f>
        <v>[S05_ContinuousEmissionsMeasurementDetail][12][TotalEmissionsCO2E]</v>
      </c>
    </row>
    <row r="712" spans="1:15" x14ac:dyDescent="0.3">
      <c r="A712" t="s">
        <v>2277</v>
      </c>
      <c r="B712" t="s">
        <v>1902</v>
      </c>
      <c r="C712" t="s">
        <v>1904</v>
      </c>
      <c r="D712">
        <v>13</v>
      </c>
      <c r="E712" t="s">
        <v>1447</v>
      </c>
      <c r="F712" t="s">
        <v>1907</v>
      </c>
      <c r="G712" t="s">
        <v>1806</v>
      </c>
      <c r="H712" t="s">
        <v>2279</v>
      </c>
      <c r="I712" t="s">
        <v>2279</v>
      </c>
      <c r="J712">
        <v>766849.21418340702</v>
      </c>
      <c r="K712" t="s">
        <v>2279</v>
      </c>
      <c r="L712" t="s">
        <v>2279</v>
      </c>
      <c r="M712" t="s">
        <v>2279</v>
      </c>
      <c r="N712" t="s">
        <v>2279</v>
      </c>
      <c r="O712" s="190" t="str">
        <f>"["&amp;$C712&amp;"]["&amp;$D712&amp;"]["&amp;$F712&amp;"]"</f>
        <v>[S05_ContinuousEmissionsMeasurementDetail][13][TotalEmissionsCO2E]</v>
      </c>
    </row>
    <row r="713" spans="1:15" x14ac:dyDescent="0.3">
      <c r="A713" t="s">
        <v>2277</v>
      </c>
      <c r="B713" t="s">
        <v>1902</v>
      </c>
      <c r="C713" t="s">
        <v>1904</v>
      </c>
      <c r="D713">
        <v>14</v>
      </c>
      <c r="E713" t="s">
        <v>1447</v>
      </c>
      <c r="F713" t="s">
        <v>1907</v>
      </c>
      <c r="G713" t="s">
        <v>1806</v>
      </c>
      <c r="H713" t="s">
        <v>2279</v>
      </c>
      <c r="I713" t="s">
        <v>2279</v>
      </c>
      <c r="J713">
        <v>3399409.7225537701</v>
      </c>
      <c r="K713" t="s">
        <v>2279</v>
      </c>
      <c r="L713" t="s">
        <v>2279</v>
      </c>
      <c r="M713" t="s">
        <v>2279</v>
      </c>
      <c r="N713" t="s">
        <v>2279</v>
      </c>
      <c r="O713" s="190" t="str">
        <f>"["&amp;$C713&amp;"]["&amp;$D713&amp;"]["&amp;$F713&amp;"]"</f>
        <v>[S05_ContinuousEmissionsMeasurementDetail][14][TotalEmissionsCO2E]</v>
      </c>
    </row>
    <row r="714" spans="1:15" x14ac:dyDescent="0.3">
      <c r="A714" t="s">
        <v>2277</v>
      </c>
      <c r="B714" t="s">
        <v>1902</v>
      </c>
      <c r="C714" t="s">
        <v>1904</v>
      </c>
      <c r="D714">
        <v>15</v>
      </c>
      <c r="E714" t="s">
        <v>1447</v>
      </c>
      <c r="F714" t="s">
        <v>1907</v>
      </c>
      <c r="G714" t="s">
        <v>1806</v>
      </c>
      <c r="H714" t="s">
        <v>2279</v>
      </c>
      <c r="I714" t="s">
        <v>2279</v>
      </c>
      <c r="J714">
        <v>0</v>
      </c>
      <c r="K714" t="s">
        <v>2279</v>
      </c>
      <c r="L714" t="s">
        <v>2279</v>
      </c>
      <c r="M714" t="s">
        <v>2279</v>
      </c>
      <c r="N714" t="s">
        <v>2279</v>
      </c>
      <c r="O714" s="190" t="str">
        <f>"["&amp;$C714&amp;"]["&amp;$D714&amp;"]["&amp;$F714&amp;"]"</f>
        <v>[S05_ContinuousEmissionsMeasurementDetail][15][TotalEmissionsCO2E]</v>
      </c>
    </row>
    <row r="715" spans="1:15" x14ac:dyDescent="0.3">
      <c r="A715" t="s">
        <v>2277</v>
      </c>
      <c r="B715" t="s">
        <v>1902</v>
      </c>
      <c r="C715" t="s">
        <v>1904</v>
      </c>
      <c r="D715">
        <v>16</v>
      </c>
      <c r="E715" t="s">
        <v>1447</v>
      </c>
      <c r="F715" t="s">
        <v>1907</v>
      </c>
      <c r="G715" t="s">
        <v>1806</v>
      </c>
      <c r="H715" t="s">
        <v>2279</v>
      </c>
      <c r="I715" t="s">
        <v>2279</v>
      </c>
      <c r="J715">
        <v>3494895.41723201</v>
      </c>
      <c r="K715" t="s">
        <v>2279</v>
      </c>
      <c r="L715" t="s">
        <v>2279</v>
      </c>
      <c r="M715" t="s">
        <v>2279</v>
      </c>
      <c r="N715" t="s">
        <v>2279</v>
      </c>
      <c r="O715" s="190" t="str">
        <f>"["&amp;$C715&amp;"]["&amp;$D715&amp;"]["&amp;$F715&amp;"]"</f>
        <v>[S05_ContinuousEmissionsMeasurementDetail][16][TotalEmissionsCO2E]</v>
      </c>
    </row>
    <row r="716" spans="1:15" x14ac:dyDescent="0.3">
      <c r="A716" t="s">
        <v>2277</v>
      </c>
      <c r="B716" t="s">
        <v>1902</v>
      </c>
      <c r="C716" t="s">
        <v>1904</v>
      </c>
      <c r="D716">
        <v>17</v>
      </c>
      <c r="E716" t="s">
        <v>1447</v>
      </c>
      <c r="F716" t="s">
        <v>1907</v>
      </c>
      <c r="G716" t="s">
        <v>1806</v>
      </c>
      <c r="H716" t="s">
        <v>2279</v>
      </c>
      <c r="I716" t="s">
        <v>2279</v>
      </c>
      <c r="J716">
        <v>298958.61485261301</v>
      </c>
      <c r="K716" t="s">
        <v>2279</v>
      </c>
      <c r="L716" t="s">
        <v>2279</v>
      </c>
      <c r="M716" t="s">
        <v>2279</v>
      </c>
      <c r="N716" t="s">
        <v>2279</v>
      </c>
      <c r="O716" s="190" t="str">
        <f>"["&amp;$C716&amp;"]["&amp;$D716&amp;"]["&amp;$F716&amp;"]"</f>
        <v>[S05_ContinuousEmissionsMeasurementDetail][17][TotalEmissionsCO2E]</v>
      </c>
    </row>
    <row r="717" spans="1:15" x14ac:dyDescent="0.3">
      <c r="A717" t="s">
        <v>2277</v>
      </c>
      <c r="B717" t="s">
        <v>1902</v>
      </c>
      <c r="C717" t="s">
        <v>1904</v>
      </c>
      <c r="D717">
        <v>18</v>
      </c>
      <c r="E717" t="s">
        <v>1447</v>
      </c>
      <c r="F717" t="s">
        <v>1907</v>
      </c>
      <c r="G717" t="s">
        <v>1806</v>
      </c>
      <c r="H717" t="s">
        <v>2279</v>
      </c>
      <c r="I717" t="s">
        <v>2279</v>
      </c>
      <c r="J717">
        <v>444954.63366156397</v>
      </c>
      <c r="K717" t="s">
        <v>2279</v>
      </c>
      <c r="L717" t="s">
        <v>2279</v>
      </c>
      <c r="M717" t="s">
        <v>2279</v>
      </c>
      <c r="N717" t="s">
        <v>2279</v>
      </c>
      <c r="O717" s="190" t="str">
        <f>"["&amp;$C717&amp;"]["&amp;$D717&amp;"]["&amp;$F717&amp;"]"</f>
        <v>[S05_ContinuousEmissionsMeasurementDetail][18][TotalEmissionsCO2E]</v>
      </c>
    </row>
    <row r="718" spans="1:15" x14ac:dyDescent="0.3">
      <c r="A718" t="s">
        <v>2277</v>
      </c>
      <c r="B718" t="s">
        <v>1902</v>
      </c>
      <c r="C718" t="s">
        <v>1904</v>
      </c>
      <c r="D718">
        <v>19</v>
      </c>
      <c r="E718" t="s">
        <v>1447</v>
      </c>
      <c r="F718" t="s">
        <v>1907</v>
      </c>
      <c r="G718" t="s">
        <v>1806</v>
      </c>
      <c r="H718" t="s">
        <v>2279</v>
      </c>
      <c r="I718" t="s">
        <v>2279</v>
      </c>
      <c r="J718">
        <v>237495.54618235899</v>
      </c>
      <c r="K718" t="s">
        <v>2279</v>
      </c>
      <c r="L718" t="s">
        <v>2279</v>
      </c>
      <c r="M718" t="s">
        <v>2279</v>
      </c>
      <c r="N718" t="s">
        <v>2279</v>
      </c>
      <c r="O718" s="190" t="str">
        <f>"["&amp;$C718&amp;"]["&amp;$D718&amp;"]["&amp;$F718&amp;"]"</f>
        <v>[S05_ContinuousEmissionsMeasurementDetail][19][TotalEmissionsCO2E]</v>
      </c>
    </row>
    <row r="719" spans="1:15" x14ac:dyDescent="0.3">
      <c r="A719" t="s">
        <v>2277</v>
      </c>
      <c r="B719" t="s">
        <v>1902</v>
      </c>
      <c r="C719" t="s">
        <v>1904</v>
      </c>
      <c r="D719">
        <v>20</v>
      </c>
      <c r="E719" t="s">
        <v>1447</v>
      </c>
      <c r="F719" t="s">
        <v>1907</v>
      </c>
      <c r="G719" t="s">
        <v>1806</v>
      </c>
      <c r="H719" t="s">
        <v>2279</v>
      </c>
      <c r="I719" t="s">
        <v>2279</v>
      </c>
      <c r="J719">
        <v>92307.667353310506</v>
      </c>
      <c r="K719" t="s">
        <v>2279</v>
      </c>
      <c r="L719" t="s">
        <v>2279</v>
      </c>
      <c r="M719" t="s">
        <v>2279</v>
      </c>
      <c r="N719" t="s">
        <v>2279</v>
      </c>
      <c r="O719" s="190" t="str">
        <f>"["&amp;$C719&amp;"]["&amp;$D719&amp;"]["&amp;$F719&amp;"]"</f>
        <v>[S05_ContinuousEmissionsMeasurementDetail][20][TotalEmissionsCO2E]</v>
      </c>
    </row>
    <row r="720" spans="1:15" x14ac:dyDescent="0.3">
      <c r="A720" t="s">
        <v>2277</v>
      </c>
      <c r="B720" t="s">
        <v>1902</v>
      </c>
      <c r="C720" t="s">
        <v>1904</v>
      </c>
      <c r="D720">
        <v>21</v>
      </c>
      <c r="E720" t="s">
        <v>1447</v>
      </c>
      <c r="F720" t="s">
        <v>1907</v>
      </c>
      <c r="G720" t="s">
        <v>1806</v>
      </c>
      <c r="H720" t="s">
        <v>2279</v>
      </c>
      <c r="I720" t="s">
        <v>2279</v>
      </c>
      <c r="J720">
        <v>150934.33465442699</v>
      </c>
      <c r="K720" t="s">
        <v>2279</v>
      </c>
      <c r="L720" t="s">
        <v>2279</v>
      </c>
      <c r="M720" t="s">
        <v>2279</v>
      </c>
      <c r="N720" t="s">
        <v>2279</v>
      </c>
      <c r="O720" s="190" t="str">
        <f>"["&amp;$C720&amp;"]["&amp;$D720&amp;"]["&amp;$F720&amp;"]"</f>
        <v>[S05_ContinuousEmissionsMeasurementDetail][21][TotalEmissionsCO2E]</v>
      </c>
    </row>
    <row r="721" spans="1:15" x14ac:dyDescent="0.3">
      <c r="A721" t="s">
        <v>2277</v>
      </c>
      <c r="B721" t="s">
        <v>1902</v>
      </c>
      <c r="C721" t="s">
        <v>1904</v>
      </c>
      <c r="D721">
        <v>22</v>
      </c>
      <c r="E721" t="s">
        <v>1447</v>
      </c>
      <c r="F721" t="s">
        <v>1907</v>
      </c>
      <c r="G721" t="s">
        <v>1806</v>
      </c>
      <c r="H721" t="s">
        <v>2279</v>
      </c>
      <c r="I721" t="s">
        <v>2279</v>
      </c>
      <c r="J721">
        <v>229517.90512083101</v>
      </c>
      <c r="K721" t="s">
        <v>2279</v>
      </c>
      <c r="L721" t="s">
        <v>2279</v>
      </c>
      <c r="M721" t="s">
        <v>2279</v>
      </c>
      <c r="N721" t="s">
        <v>2279</v>
      </c>
      <c r="O721" s="190" t="str">
        <f>"["&amp;$C721&amp;"]["&amp;$D721&amp;"]["&amp;$F721&amp;"]"</f>
        <v>[S05_ContinuousEmissionsMeasurementDetail][22][TotalEmissionsCO2E]</v>
      </c>
    </row>
    <row r="722" spans="1:15" x14ac:dyDescent="0.3">
      <c r="A722" t="s">
        <v>2277</v>
      </c>
      <c r="B722" t="s">
        <v>1902</v>
      </c>
      <c r="C722" t="s">
        <v>1904</v>
      </c>
      <c r="D722">
        <v>1</v>
      </c>
      <c r="E722" t="s">
        <v>1447</v>
      </c>
      <c r="F722" t="s">
        <v>1908</v>
      </c>
      <c r="G722" t="s">
        <v>1806</v>
      </c>
      <c r="H722" t="s">
        <v>2279</v>
      </c>
      <c r="I722" t="s">
        <v>2279</v>
      </c>
      <c r="J722">
        <v>1333902</v>
      </c>
      <c r="K722" t="s">
        <v>2279</v>
      </c>
      <c r="L722" t="s">
        <v>2279</v>
      </c>
      <c r="M722" t="s">
        <v>2279</v>
      </c>
      <c r="N722" t="s">
        <v>2279</v>
      </c>
      <c r="O722" s="190" t="str">
        <f>"["&amp;$C722&amp;"]["&amp;$D722&amp;"]["&amp;$F722&amp;"]"</f>
        <v>[S05_ContinuousEmissionsMeasurementDetail][1][ContinuousMeasurementTotalEmissions]</v>
      </c>
    </row>
    <row r="723" spans="1:15" x14ac:dyDescent="0.3">
      <c r="A723" t="s">
        <v>2277</v>
      </c>
      <c r="B723" t="s">
        <v>1902</v>
      </c>
      <c r="C723" t="s">
        <v>1904</v>
      </c>
      <c r="D723">
        <v>2</v>
      </c>
      <c r="E723" t="s">
        <v>1447</v>
      </c>
      <c r="F723" t="s">
        <v>1908</v>
      </c>
      <c r="G723" t="s">
        <v>1806</v>
      </c>
      <c r="H723" t="s">
        <v>2279</v>
      </c>
      <c r="I723" t="s">
        <v>2279</v>
      </c>
      <c r="J723">
        <v>1691751.41527097</v>
      </c>
      <c r="K723" t="s">
        <v>2279</v>
      </c>
      <c r="L723" t="s">
        <v>2279</v>
      </c>
      <c r="M723" t="s">
        <v>2279</v>
      </c>
      <c r="N723" t="s">
        <v>2279</v>
      </c>
      <c r="O723" s="190" t="str">
        <f>"["&amp;$C723&amp;"]["&amp;$D723&amp;"]["&amp;$F723&amp;"]"</f>
        <v>[S05_ContinuousEmissionsMeasurementDetail][2][ContinuousMeasurementTotalEmissions]</v>
      </c>
    </row>
    <row r="724" spans="1:15" x14ac:dyDescent="0.3">
      <c r="A724" t="s">
        <v>2277</v>
      </c>
      <c r="B724" t="s">
        <v>1902</v>
      </c>
      <c r="C724" t="s">
        <v>1904</v>
      </c>
      <c r="D724">
        <v>3</v>
      </c>
      <c r="E724" t="s">
        <v>1447</v>
      </c>
      <c r="F724" t="s">
        <v>1908</v>
      </c>
      <c r="G724" t="s">
        <v>1806</v>
      </c>
      <c r="H724" t="s">
        <v>2279</v>
      </c>
      <c r="I724" t="s">
        <v>2279</v>
      </c>
      <c r="J724">
        <v>424739.30174624402</v>
      </c>
      <c r="K724" t="s">
        <v>2279</v>
      </c>
      <c r="L724" t="s">
        <v>2279</v>
      </c>
      <c r="M724" t="s">
        <v>2279</v>
      </c>
      <c r="N724" t="s">
        <v>2279</v>
      </c>
      <c r="O724" s="190" t="str">
        <f>"["&amp;$C724&amp;"]["&amp;$D724&amp;"]["&amp;$F724&amp;"]"</f>
        <v>[S05_ContinuousEmissionsMeasurementDetail][3][ContinuousMeasurementTotalEmissions]</v>
      </c>
    </row>
    <row r="725" spans="1:15" x14ac:dyDescent="0.3">
      <c r="A725" t="s">
        <v>2277</v>
      </c>
      <c r="B725" t="s">
        <v>1902</v>
      </c>
      <c r="C725" t="s">
        <v>1904</v>
      </c>
      <c r="D725">
        <v>4</v>
      </c>
      <c r="E725" t="s">
        <v>1447</v>
      </c>
      <c r="F725" t="s">
        <v>1908</v>
      </c>
      <c r="G725" t="s">
        <v>1806</v>
      </c>
      <c r="H725" t="s">
        <v>2279</v>
      </c>
      <c r="I725" t="s">
        <v>2279</v>
      </c>
      <c r="J725">
        <v>1563086.5633207599</v>
      </c>
      <c r="K725" t="s">
        <v>2279</v>
      </c>
      <c r="L725" t="s">
        <v>2279</v>
      </c>
      <c r="M725" t="s">
        <v>2279</v>
      </c>
      <c r="N725" t="s">
        <v>2279</v>
      </c>
      <c r="O725" s="190" t="str">
        <f>"["&amp;$C725&amp;"]["&amp;$D725&amp;"]["&amp;$F725&amp;"]"</f>
        <v>[S05_ContinuousEmissionsMeasurementDetail][4][ContinuousMeasurementTotalEmissions]</v>
      </c>
    </row>
    <row r="726" spans="1:15" x14ac:dyDescent="0.3">
      <c r="A726" t="s">
        <v>2277</v>
      </c>
      <c r="B726" t="s">
        <v>1902</v>
      </c>
      <c r="C726" t="s">
        <v>1904</v>
      </c>
      <c r="D726">
        <v>5</v>
      </c>
      <c r="E726" t="s">
        <v>1447</v>
      </c>
      <c r="F726" t="s">
        <v>1908</v>
      </c>
      <c r="G726" t="s">
        <v>1806</v>
      </c>
      <c r="H726" t="s">
        <v>2279</v>
      </c>
      <c r="I726" t="s">
        <v>2279</v>
      </c>
      <c r="J726">
        <v>464370.86776894698</v>
      </c>
      <c r="K726" t="s">
        <v>2279</v>
      </c>
      <c r="L726" t="s">
        <v>2279</v>
      </c>
      <c r="M726" t="s">
        <v>2279</v>
      </c>
      <c r="N726" t="s">
        <v>2279</v>
      </c>
      <c r="O726" s="190" t="str">
        <f>"["&amp;$C726&amp;"]["&amp;$D726&amp;"]["&amp;$F726&amp;"]"</f>
        <v>[S05_ContinuousEmissionsMeasurementDetail][5][ContinuousMeasurementTotalEmissions]</v>
      </c>
    </row>
    <row r="727" spans="1:15" x14ac:dyDescent="0.3">
      <c r="A727" t="s">
        <v>2277</v>
      </c>
      <c r="B727" t="s">
        <v>1902</v>
      </c>
      <c r="C727" t="s">
        <v>1904</v>
      </c>
      <c r="D727">
        <v>6</v>
      </c>
      <c r="E727" t="s">
        <v>1447</v>
      </c>
      <c r="F727" t="s">
        <v>1908</v>
      </c>
      <c r="G727" t="s">
        <v>1806</v>
      </c>
      <c r="H727" t="s">
        <v>2279</v>
      </c>
      <c r="I727" t="s">
        <v>2279</v>
      </c>
      <c r="J727">
        <v>1149014.07221807</v>
      </c>
      <c r="K727" t="s">
        <v>2279</v>
      </c>
      <c r="L727" t="s">
        <v>2279</v>
      </c>
      <c r="M727" t="s">
        <v>2279</v>
      </c>
      <c r="N727" t="s">
        <v>2279</v>
      </c>
      <c r="O727" s="190" t="str">
        <f>"["&amp;$C727&amp;"]["&amp;$D727&amp;"]["&amp;$F727&amp;"]"</f>
        <v>[S05_ContinuousEmissionsMeasurementDetail][6][ContinuousMeasurementTotalEmissions]</v>
      </c>
    </row>
    <row r="728" spans="1:15" x14ac:dyDescent="0.3">
      <c r="A728" t="s">
        <v>2277</v>
      </c>
      <c r="B728" t="s">
        <v>1902</v>
      </c>
      <c r="C728" t="s">
        <v>1904</v>
      </c>
      <c r="D728">
        <v>7</v>
      </c>
      <c r="E728" t="s">
        <v>1447</v>
      </c>
      <c r="F728" t="s">
        <v>1908</v>
      </c>
      <c r="G728" t="s">
        <v>1806</v>
      </c>
      <c r="H728" t="s">
        <v>2279</v>
      </c>
      <c r="I728" t="s">
        <v>2279</v>
      </c>
      <c r="J728">
        <v>3397648.9180313</v>
      </c>
      <c r="K728" t="s">
        <v>2279</v>
      </c>
      <c r="L728" t="s">
        <v>2279</v>
      </c>
      <c r="M728" t="s">
        <v>2279</v>
      </c>
      <c r="N728" t="s">
        <v>2279</v>
      </c>
      <c r="O728" s="190" t="str">
        <f>"["&amp;$C728&amp;"]["&amp;$D728&amp;"]["&amp;$F728&amp;"]"</f>
        <v>[S05_ContinuousEmissionsMeasurementDetail][7][ContinuousMeasurementTotalEmissions]</v>
      </c>
    </row>
    <row r="729" spans="1:15" x14ac:dyDescent="0.3">
      <c r="A729" t="s">
        <v>2277</v>
      </c>
      <c r="B729" t="s">
        <v>1902</v>
      </c>
      <c r="C729" t="s">
        <v>1904</v>
      </c>
      <c r="D729">
        <v>8</v>
      </c>
      <c r="E729" t="s">
        <v>1447</v>
      </c>
      <c r="F729" t="s">
        <v>1908</v>
      </c>
      <c r="G729" t="s">
        <v>1806</v>
      </c>
      <c r="H729" t="s">
        <v>2279</v>
      </c>
      <c r="I729" t="s">
        <v>2279</v>
      </c>
      <c r="J729">
        <v>628728.22751408699</v>
      </c>
      <c r="K729" t="s">
        <v>2279</v>
      </c>
      <c r="L729" t="s">
        <v>2279</v>
      </c>
      <c r="M729" t="s">
        <v>2279</v>
      </c>
      <c r="N729" t="s">
        <v>2279</v>
      </c>
      <c r="O729" s="190" t="str">
        <f>"["&amp;$C729&amp;"]["&amp;$D729&amp;"]["&amp;$F729&amp;"]"</f>
        <v>[S05_ContinuousEmissionsMeasurementDetail][8][ContinuousMeasurementTotalEmissions]</v>
      </c>
    </row>
    <row r="730" spans="1:15" x14ac:dyDescent="0.3">
      <c r="A730" t="s">
        <v>2277</v>
      </c>
      <c r="B730" t="s">
        <v>1902</v>
      </c>
      <c r="C730" t="s">
        <v>1904</v>
      </c>
      <c r="D730">
        <v>9</v>
      </c>
      <c r="E730" t="s">
        <v>1447</v>
      </c>
      <c r="F730" t="s">
        <v>1908</v>
      </c>
      <c r="G730" t="s">
        <v>1806</v>
      </c>
      <c r="H730" t="s">
        <v>2279</v>
      </c>
      <c r="I730" t="s">
        <v>2279</v>
      </c>
      <c r="J730">
        <v>679981.175530673</v>
      </c>
      <c r="K730" t="s">
        <v>2279</v>
      </c>
      <c r="L730" t="s">
        <v>2279</v>
      </c>
      <c r="M730" t="s">
        <v>2279</v>
      </c>
      <c r="N730" t="s">
        <v>2279</v>
      </c>
      <c r="O730" s="190" t="str">
        <f>"["&amp;$C730&amp;"]["&amp;$D730&amp;"]["&amp;$F730&amp;"]"</f>
        <v>[S05_ContinuousEmissionsMeasurementDetail][9][ContinuousMeasurementTotalEmissions]</v>
      </c>
    </row>
    <row r="731" spans="1:15" x14ac:dyDescent="0.3">
      <c r="A731" t="s">
        <v>2277</v>
      </c>
      <c r="B731" t="s">
        <v>1902</v>
      </c>
      <c r="C731" t="s">
        <v>1904</v>
      </c>
      <c r="D731">
        <v>10</v>
      </c>
      <c r="E731" t="s">
        <v>1447</v>
      </c>
      <c r="F731" t="s">
        <v>1908</v>
      </c>
      <c r="G731" t="s">
        <v>1806</v>
      </c>
      <c r="H731" t="s">
        <v>2279</v>
      </c>
      <c r="I731" t="s">
        <v>2279</v>
      </c>
      <c r="J731">
        <v>147331.01096110599</v>
      </c>
      <c r="K731" t="s">
        <v>2279</v>
      </c>
      <c r="L731" t="s">
        <v>2279</v>
      </c>
      <c r="M731" t="s">
        <v>2279</v>
      </c>
      <c r="N731" t="s">
        <v>2279</v>
      </c>
      <c r="O731" s="190" t="str">
        <f>"["&amp;$C731&amp;"]["&amp;$D731&amp;"]["&amp;$F731&amp;"]"</f>
        <v>[S05_ContinuousEmissionsMeasurementDetail][10][ContinuousMeasurementTotalEmissions]</v>
      </c>
    </row>
    <row r="732" spans="1:15" x14ac:dyDescent="0.3">
      <c r="A732" t="s">
        <v>2277</v>
      </c>
      <c r="B732" t="s">
        <v>1902</v>
      </c>
      <c r="C732" t="s">
        <v>1904</v>
      </c>
      <c r="D732">
        <v>11</v>
      </c>
      <c r="E732" t="s">
        <v>1447</v>
      </c>
      <c r="F732" t="s">
        <v>1908</v>
      </c>
      <c r="G732" t="s">
        <v>1806</v>
      </c>
      <c r="H732" t="s">
        <v>2279</v>
      </c>
      <c r="I732" t="s">
        <v>2279</v>
      </c>
      <c r="J732">
        <v>4419806.1994250603</v>
      </c>
      <c r="K732" t="s">
        <v>2279</v>
      </c>
      <c r="L732" t="s">
        <v>2279</v>
      </c>
      <c r="M732" t="s">
        <v>2279</v>
      </c>
      <c r="N732" t="s">
        <v>2279</v>
      </c>
      <c r="O732" s="190" t="str">
        <f>"["&amp;$C732&amp;"]["&amp;$D732&amp;"]["&amp;$F732&amp;"]"</f>
        <v>[S05_ContinuousEmissionsMeasurementDetail][11][ContinuousMeasurementTotalEmissions]</v>
      </c>
    </row>
    <row r="733" spans="1:15" x14ac:dyDescent="0.3">
      <c r="A733" t="s">
        <v>2277</v>
      </c>
      <c r="B733" t="s">
        <v>1902</v>
      </c>
      <c r="C733" t="s">
        <v>1904</v>
      </c>
      <c r="D733">
        <v>12</v>
      </c>
      <c r="E733" t="s">
        <v>1447</v>
      </c>
      <c r="F733" t="s">
        <v>1908</v>
      </c>
      <c r="G733" t="s">
        <v>1806</v>
      </c>
      <c r="H733" t="s">
        <v>2279</v>
      </c>
      <c r="I733" t="s">
        <v>2279</v>
      </c>
      <c r="J733">
        <v>341517.38628817699</v>
      </c>
      <c r="K733" t="s">
        <v>2279</v>
      </c>
      <c r="L733" t="s">
        <v>2279</v>
      </c>
      <c r="M733" t="s">
        <v>2279</v>
      </c>
      <c r="N733" t="s">
        <v>2279</v>
      </c>
      <c r="O733" s="190" t="str">
        <f>"["&amp;$C733&amp;"]["&amp;$D733&amp;"]["&amp;$F733&amp;"]"</f>
        <v>[S05_ContinuousEmissionsMeasurementDetail][12][ContinuousMeasurementTotalEmissions]</v>
      </c>
    </row>
    <row r="734" spans="1:15" x14ac:dyDescent="0.3">
      <c r="A734" t="s">
        <v>2277</v>
      </c>
      <c r="B734" t="s">
        <v>1902</v>
      </c>
      <c r="C734" t="s">
        <v>1904</v>
      </c>
      <c r="D734">
        <v>13</v>
      </c>
      <c r="E734" t="s">
        <v>1447</v>
      </c>
      <c r="F734" t="s">
        <v>1908</v>
      </c>
      <c r="G734" t="s">
        <v>1806</v>
      </c>
      <c r="H734" t="s">
        <v>2279</v>
      </c>
      <c r="I734" t="s">
        <v>2279</v>
      </c>
      <c r="J734">
        <v>761789.06240852596</v>
      </c>
      <c r="K734" t="s">
        <v>2279</v>
      </c>
      <c r="L734" t="s">
        <v>2279</v>
      </c>
      <c r="M734" t="s">
        <v>2279</v>
      </c>
      <c r="N734" t="s">
        <v>2279</v>
      </c>
      <c r="O734" s="190" t="str">
        <f>"["&amp;$C734&amp;"]["&amp;$D734&amp;"]["&amp;$F734&amp;"]"</f>
        <v>[S05_ContinuousEmissionsMeasurementDetail][13][ContinuousMeasurementTotalEmissions]</v>
      </c>
    </row>
    <row r="735" spans="1:15" x14ac:dyDescent="0.3">
      <c r="A735" t="s">
        <v>2277</v>
      </c>
      <c r="B735" t="s">
        <v>1902</v>
      </c>
      <c r="C735" t="s">
        <v>1904</v>
      </c>
      <c r="D735">
        <v>14</v>
      </c>
      <c r="E735" t="s">
        <v>1447</v>
      </c>
      <c r="F735" t="s">
        <v>1908</v>
      </c>
      <c r="G735" t="s">
        <v>1806</v>
      </c>
      <c r="H735" t="s">
        <v>2279</v>
      </c>
      <c r="I735" t="s">
        <v>2279</v>
      </c>
      <c r="J735">
        <v>3399403.8511661701</v>
      </c>
      <c r="K735" t="s">
        <v>2279</v>
      </c>
      <c r="L735" t="s">
        <v>2279</v>
      </c>
      <c r="M735" t="s">
        <v>2279</v>
      </c>
      <c r="N735" t="s">
        <v>2279</v>
      </c>
      <c r="O735" s="190" t="str">
        <f>"["&amp;$C735&amp;"]["&amp;$D735&amp;"]["&amp;$F735&amp;"]"</f>
        <v>[S05_ContinuousEmissionsMeasurementDetail][14][ContinuousMeasurementTotalEmissions]</v>
      </c>
    </row>
    <row r="736" spans="1:15" x14ac:dyDescent="0.3">
      <c r="A736" t="s">
        <v>2277</v>
      </c>
      <c r="B736" t="s">
        <v>1902</v>
      </c>
      <c r="C736" t="s">
        <v>1904</v>
      </c>
      <c r="D736">
        <v>15</v>
      </c>
      <c r="E736" t="s">
        <v>1447</v>
      </c>
      <c r="F736" t="s">
        <v>1908</v>
      </c>
      <c r="G736" t="s">
        <v>1806</v>
      </c>
      <c r="H736" t="s">
        <v>2279</v>
      </c>
      <c r="I736" t="s">
        <v>2279</v>
      </c>
      <c r="J736">
        <v>0</v>
      </c>
      <c r="K736" t="s">
        <v>2279</v>
      </c>
      <c r="L736" t="s">
        <v>2279</v>
      </c>
      <c r="M736" t="s">
        <v>2279</v>
      </c>
      <c r="N736" t="s">
        <v>2279</v>
      </c>
      <c r="O736" s="190" t="str">
        <f>"["&amp;$C736&amp;"]["&amp;$D736&amp;"]["&amp;$F736&amp;"]"</f>
        <v>[S05_ContinuousEmissionsMeasurementDetail][15][ContinuousMeasurementTotalEmissions]</v>
      </c>
    </row>
    <row r="737" spans="1:15" x14ac:dyDescent="0.3">
      <c r="A737" t="s">
        <v>2277</v>
      </c>
      <c r="B737" t="s">
        <v>1902</v>
      </c>
      <c r="C737" t="s">
        <v>1904</v>
      </c>
      <c r="D737">
        <v>16</v>
      </c>
      <c r="E737" t="s">
        <v>1447</v>
      </c>
      <c r="F737" t="s">
        <v>1908</v>
      </c>
      <c r="G737" t="s">
        <v>1806</v>
      </c>
      <c r="H737" t="s">
        <v>2279</v>
      </c>
      <c r="I737" t="s">
        <v>2279</v>
      </c>
      <c r="J737">
        <v>3494889.0628754301</v>
      </c>
      <c r="K737" t="s">
        <v>2279</v>
      </c>
      <c r="L737" t="s">
        <v>2279</v>
      </c>
      <c r="M737" t="s">
        <v>2279</v>
      </c>
      <c r="N737" t="s">
        <v>2279</v>
      </c>
      <c r="O737" s="190" t="str">
        <f>"["&amp;$C737&amp;"]["&amp;$D737&amp;"]["&amp;$F737&amp;"]"</f>
        <v>[S05_ContinuousEmissionsMeasurementDetail][16][ContinuousMeasurementTotalEmissions]</v>
      </c>
    </row>
    <row r="738" spans="1:15" x14ac:dyDescent="0.3">
      <c r="A738" t="s">
        <v>2277</v>
      </c>
      <c r="B738" t="s">
        <v>1902</v>
      </c>
      <c r="C738" t="s">
        <v>1904</v>
      </c>
      <c r="D738">
        <v>17</v>
      </c>
      <c r="E738" t="s">
        <v>1447</v>
      </c>
      <c r="F738" t="s">
        <v>1908</v>
      </c>
      <c r="G738" t="s">
        <v>1806</v>
      </c>
      <c r="H738" t="s">
        <v>2279</v>
      </c>
      <c r="I738" t="s">
        <v>2279</v>
      </c>
      <c r="J738">
        <v>297296.942785152</v>
      </c>
      <c r="K738" t="s">
        <v>2279</v>
      </c>
      <c r="L738" t="s">
        <v>2279</v>
      </c>
      <c r="M738" t="s">
        <v>2279</v>
      </c>
      <c r="N738" t="s">
        <v>2279</v>
      </c>
      <c r="O738" s="190" t="str">
        <f>"["&amp;$C738&amp;"]["&amp;$D738&amp;"]["&amp;$F738&amp;"]"</f>
        <v>[S05_ContinuousEmissionsMeasurementDetail][17][ContinuousMeasurementTotalEmissions]</v>
      </c>
    </row>
    <row r="739" spans="1:15" x14ac:dyDescent="0.3">
      <c r="A739" t="s">
        <v>2277</v>
      </c>
      <c r="B739" t="s">
        <v>1902</v>
      </c>
      <c r="C739" t="s">
        <v>1904</v>
      </c>
      <c r="D739">
        <v>18</v>
      </c>
      <c r="E739" t="s">
        <v>1447</v>
      </c>
      <c r="F739" t="s">
        <v>1908</v>
      </c>
      <c r="G739" t="s">
        <v>1806</v>
      </c>
      <c r="H739" t="s">
        <v>2279</v>
      </c>
      <c r="I739" t="s">
        <v>2279</v>
      </c>
      <c r="J739">
        <v>29227.165779286101</v>
      </c>
      <c r="K739" t="s">
        <v>2279</v>
      </c>
      <c r="L739" t="s">
        <v>2279</v>
      </c>
      <c r="M739" t="s">
        <v>2279</v>
      </c>
      <c r="N739" t="s">
        <v>2279</v>
      </c>
      <c r="O739" s="190" t="str">
        <f>"["&amp;$C739&amp;"]["&amp;$D739&amp;"]["&amp;$F739&amp;"]"</f>
        <v>[S05_ContinuousEmissionsMeasurementDetail][18][ContinuousMeasurementTotalEmissions]</v>
      </c>
    </row>
    <row r="740" spans="1:15" x14ac:dyDescent="0.3">
      <c r="A740" t="s">
        <v>2277</v>
      </c>
      <c r="B740" t="s">
        <v>1902</v>
      </c>
      <c r="C740" t="s">
        <v>1904</v>
      </c>
      <c r="D740">
        <v>19</v>
      </c>
      <c r="E740" t="s">
        <v>1447</v>
      </c>
      <c r="F740" t="s">
        <v>1908</v>
      </c>
      <c r="G740" t="s">
        <v>1806</v>
      </c>
      <c r="H740" t="s">
        <v>2279</v>
      </c>
      <c r="I740" t="s">
        <v>2279</v>
      </c>
      <c r="J740">
        <v>2791.4208764790801</v>
      </c>
      <c r="K740" t="s">
        <v>2279</v>
      </c>
      <c r="L740" t="s">
        <v>2279</v>
      </c>
      <c r="M740" t="s">
        <v>2279</v>
      </c>
      <c r="N740" t="s">
        <v>2279</v>
      </c>
      <c r="O740" s="190" t="str">
        <f>"["&amp;$C740&amp;"]["&amp;$D740&amp;"]["&amp;$F740&amp;"]"</f>
        <v>[S05_ContinuousEmissionsMeasurementDetail][19][ContinuousMeasurementTotalEmissions]</v>
      </c>
    </row>
    <row r="741" spans="1:15" x14ac:dyDescent="0.3">
      <c r="A741" t="s">
        <v>2277</v>
      </c>
      <c r="B741" t="s">
        <v>1902</v>
      </c>
      <c r="C741" t="s">
        <v>1904</v>
      </c>
      <c r="D741">
        <v>20</v>
      </c>
      <c r="E741" t="s">
        <v>1447</v>
      </c>
      <c r="F741" t="s">
        <v>1908</v>
      </c>
      <c r="G741" t="s">
        <v>1806</v>
      </c>
      <c r="H741" t="s">
        <v>2279</v>
      </c>
      <c r="I741" t="s">
        <v>2279</v>
      </c>
      <c r="J741">
        <v>90155.964394940005</v>
      </c>
      <c r="K741" t="s">
        <v>2279</v>
      </c>
      <c r="L741" t="s">
        <v>2279</v>
      </c>
      <c r="M741" t="s">
        <v>2279</v>
      </c>
      <c r="N741" t="s">
        <v>2279</v>
      </c>
      <c r="O741" s="190" t="str">
        <f>"["&amp;$C741&amp;"]["&amp;$D741&amp;"]["&amp;$F741&amp;"]"</f>
        <v>[S05_ContinuousEmissionsMeasurementDetail][20][ContinuousMeasurementTotalEmissions]</v>
      </c>
    </row>
    <row r="742" spans="1:15" x14ac:dyDescent="0.3">
      <c r="A742" t="s">
        <v>2277</v>
      </c>
      <c r="B742" t="s">
        <v>1902</v>
      </c>
      <c r="C742" t="s">
        <v>1904</v>
      </c>
      <c r="D742">
        <v>21</v>
      </c>
      <c r="E742" t="s">
        <v>1447</v>
      </c>
      <c r="F742" t="s">
        <v>1908</v>
      </c>
      <c r="G742" t="s">
        <v>1806</v>
      </c>
      <c r="H742" t="s">
        <v>2279</v>
      </c>
      <c r="I742" t="s">
        <v>2279</v>
      </c>
      <c r="J742">
        <v>23438.9239249571</v>
      </c>
      <c r="K742" t="s">
        <v>2279</v>
      </c>
      <c r="L742" t="s">
        <v>2279</v>
      </c>
      <c r="M742" t="s">
        <v>2279</v>
      </c>
      <c r="N742" t="s">
        <v>2279</v>
      </c>
      <c r="O742" s="190" t="str">
        <f>"["&amp;$C742&amp;"]["&amp;$D742&amp;"]["&amp;$F742&amp;"]"</f>
        <v>[S05_ContinuousEmissionsMeasurementDetail][21][ContinuousMeasurementTotalEmissions]</v>
      </c>
    </row>
    <row r="743" spans="1:15" x14ac:dyDescent="0.3">
      <c r="A743" t="s">
        <v>2277</v>
      </c>
      <c r="B743" t="s">
        <v>1902</v>
      </c>
      <c r="C743" t="s">
        <v>1904</v>
      </c>
      <c r="D743">
        <v>22</v>
      </c>
      <c r="E743" t="s">
        <v>1447</v>
      </c>
      <c r="F743" t="s">
        <v>1908</v>
      </c>
      <c r="G743" t="s">
        <v>1806</v>
      </c>
      <c r="H743" t="s">
        <v>2279</v>
      </c>
      <c r="I743" t="s">
        <v>2279</v>
      </c>
      <c r="J743">
        <v>4719.5</v>
      </c>
      <c r="K743" t="s">
        <v>2279</v>
      </c>
      <c r="L743" t="s">
        <v>2279</v>
      </c>
      <c r="M743" t="s">
        <v>2279</v>
      </c>
      <c r="N743" t="s">
        <v>2279</v>
      </c>
      <c r="O743" s="190" t="str">
        <f>"["&amp;$C743&amp;"]["&amp;$D743&amp;"]["&amp;$F743&amp;"]"</f>
        <v>[S05_ContinuousEmissionsMeasurementDetail][22][ContinuousMeasurementTotalEmissions]</v>
      </c>
    </row>
    <row r="744" spans="1:15" x14ac:dyDescent="0.3">
      <c r="A744" t="s">
        <v>2277</v>
      </c>
      <c r="B744" t="s">
        <v>1902</v>
      </c>
      <c r="C744" t="s">
        <v>1904</v>
      </c>
      <c r="D744">
        <v>1</v>
      </c>
      <c r="E744" t="s">
        <v>1447</v>
      </c>
      <c r="F744" t="s">
        <v>1909</v>
      </c>
      <c r="G744" t="s">
        <v>1759</v>
      </c>
      <c r="H744" t="s">
        <v>2279</v>
      </c>
      <c r="I744" t="s">
        <v>2279</v>
      </c>
      <c r="J744" t="s">
        <v>2279</v>
      </c>
      <c r="K744" t="s">
        <v>2279</v>
      </c>
      <c r="L744" t="s">
        <v>1447</v>
      </c>
      <c r="M744" t="s">
        <v>2279</v>
      </c>
      <c r="N744" t="s">
        <v>2279</v>
      </c>
      <c r="O744" s="190" t="str">
        <f>"["&amp;$C744&amp;"]["&amp;$D744&amp;"]["&amp;$F744&amp;"]"</f>
        <v>[S05_ContinuousEmissionsMeasurementDetail][1][FlueGasContainBiomass]</v>
      </c>
    </row>
    <row r="745" spans="1:15" x14ac:dyDescent="0.3">
      <c r="A745" t="s">
        <v>2277</v>
      </c>
      <c r="B745" t="s">
        <v>1902</v>
      </c>
      <c r="C745" t="s">
        <v>1904</v>
      </c>
      <c r="D745">
        <v>2</v>
      </c>
      <c r="E745" t="s">
        <v>1447</v>
      </c>
      <c r="F745" t="s">
        <v>1909</v>
      </c>
      <c r="G745" t="s">
        <v>1759</v>
      </c>
      <c r="H745" t="s">
        <v>2279</v>
      </c>
      <c r="I745" t="s">
        <v>2279</v>
      </c>
      <c r="J745" t="s">
        <v>2279</v>
      </c>
      <c r="K745" t="s">
        <v>2279</v>
      </c>
      <c r="L745" t="s">
        <v>1447</v>
      </c>
      <c r="M745" t="s">
        <v>2279</v>
      </c>
      <c r="N745" t="s">
        <v>2279</v>
      </c>
      <c r="O745" s="190" t="str">
        <f>"["&amp;$C745&amp;"]["&amp;$D745&amp;"]["&amp;$F745&amp;"]"</f>
        <v>[S05_ContinuousEmissionsMeasurementDetail][2][FlueGasContainBiomass]</v>
      </c>
    </row>
    <row r="746" spans="1:15" x14ac:dyDescent="0.3">
      <c r="A746" t="s">
        <v>2277</v>
      </c>
      <c r="B746" t="s">
        <v>1902</v>
      </c>
      <c r="C746" t="s">
        <v>1904</v>
      </c>
      <c r="D746">
        <v>3</v>
      </c>
      <c r="E746" t="s">
        <v>1447</v>
      </c>
      <c r="F746" t="s">
        <v>1909</v>
      </c>
      <c r="G746" t="s">
        <v>1759</v>
      </c>
      <c r="H746" t="s">
        <v>2279</v>
      </c>
      <c r="I746" t="s">
        <v>2279</v>
      </c>
      <c r="J746" t="s">
        <v>2279</v>
      </c>
      <c r="K746" t="s">
        <v>2279</v>
      </c>
      <c r="L746" t="s">
        <v>1419</v>
      </c>
      <c r="M746" t="s">
        <v>2279</v>
      </c>
      <c r="N746" t="s">
        <v>2279</v>
      </c>
      <c r="O746" s="190" t="str">
        <f>"["&amp;$C746&amp;"]["&amp;$D746&amp;"]["&amp;$F746&amp;"]"</f>
        <v>[S05_ContinuousEmissionsMeasurementDetail][3][FlueGasContainBiomass]</v>
      </c>
    </row>
    <row r="747" spans="1:15" x14ac:dyDescent="0.3">
      <c r="A747" t="s">
        <v>2277</v>
      </c>
      <c r="B747" t="s">
        <v>1902</v>
      </c>
      <c r="C747" t="s">
        <v>1904</v>
      </c>
      <c r="D747">
        <v>4</v>
      </c>
      <c r="E747" t="s">
        <v>1447</v>
      </c>
      <c r="F747" t="s">
        <v>1909</v>
      </c>
      <c r="G747" t="s">
        <v>1759</v>
      </c>
      <c r="H747" t="s">
        <v>2279</v>
      </c>
      <c r="I747" t="s">
        <v>2279</v>
      </c>
      <c r="J747" t="s">
        <v>2279</v>
      </c>
      <c r="K747" t="s">
        <v>2279</v>
      </c>
      <c r="L747" t="s">
        <v>1447</v>
      </c>
      <c r="M747" t="s">
        <v>2279</v>
      </c>
      <c r="N747" t="s">
        <v>2279</v>
      </c>
      <c r="O747" s="190" t="str">
        <f>"["&amp;$C747&amp;"]["&amp;$D747&amp;"]["&amp;$F747&amp;"]"</f>
        <v>[S05_ContinuousEmissionsMeasurementDetail][4][FlueGasContainBiomass]</v>
      </c>
    </row>
    <row r="748" spans="1:15" x14ac:dyDescent="0.3">
      <c r="A748" t="s">
        <v>2277</v>
      </c>
      <c r="B748" t="s">
        <v>1902</v>
      </c>
      <c r="C748" t="s">
        <v>1904</v>
      </c>
      <c r="D748">
        <v>5</v>
      </c>
      <c r="E748" t="s">
        <v>1447</v>
      </c>
      <c r="F748" t="s">
        <v>1909</v>
      </c>
      <c r="G748" t="s">
        <v>1759</v>
      </c>
      <c r="H748" t="s">
        <v>2279</v>
      </c>
      <c r="I748" t="s">
        <v>2279</v>
      </c>
      <c r="J748" t="s">
        <v>2279</v>
      </c>
      <c r="K748" t="s">
        <v>2279</v>
      </c>
      <c r="L748" t="s">
        <v>1419</v>
      </c>
      <c r="M748" t="s">
        <v>2279</v>
      </c>
      <c r="N748" t="s">
        <v>2279</v>
      </c>
      <c r="O748" s="190" t="str">
        <f>"["&amp;$C748&amp;"]["&amp;$D748&amp;"]["&amp;$F748&amp;"]"</f>
        <v>[S05_ContinuousEmissionsMeasurementDetail][5][FlueGasContainBiomass]</v>
      </c>
    </row>
    <row r="749" spans="1:15" x14ac:dyDescent="0.3">
      <c r="A749" t="s">
        <v>2277</v>
      </c>
      <c r="B749" t="s">
        <v>1902</v>
      </c>
      <c r="C749" t="s">
        <v>1904</v>
      </c>
      <c r="D749">
        <v>6</v>
      </c>
      <c r="E749" t="s">
        <v>1447</v>
      </c>
      <c r="F749" t="s">
        <v>1909</v>
      </c>
      <c r="G749" t="s">
        <v>1759</v>
      </c>
      <c r="H749" t="s">
        <v>2279</v>
      </c>
      <c r="I749" t="s">
        <v>2279</v>
      </c>
      <c r="J749" t="s">
        <v>2279</v>
      </c>
      <c r="K749" t="s">
        <v>2279</v>
      </c>
      <c r="L749" t="s">
        <v>1447</v>
      </c>
      <c r="M749" t="s">
        <v>2279</v>
      </c>
      <c r="N749" t="s">
        <v>2279</v>
      </c>
      <c r="O749" s="190" t="str">
        <f>"["&amp;$C749&amp;"]["&amp;$D749&amp;"]["&amp;$F749&amp;"]"</f>
        <v>[S05_ContinuousEmissionsMeasurementDetail][6][FlueGasContainBiomass]</v>
      </c>
    </row>
    <row r="750" spans="1:15" x14ac:dyDescent="0.3">
      <c r="A750" t="s">
        <v>2277</v>
      </c>
      <c r="B750" t="s">
        <v>1902</v>
      </c>
      <c r="C750" t="s">
        <v>1904</v>
      </c>
      <c r="D750">
        <v>7</v>
      </c>
      <c r="E750" t="s">
        <v>1447</v>
      </c>
      <c r="F750" t="s">
        <v>1909</v>
      </c>
      <c r="G750" t="s">
        <v>1759</v>
      </c>
      <c r="H750" t="s">
        <v>2279</v>
      </c>
      <c r="I750" t="s">
        <v>2279</v>
      </c>
      <c r="J750" t="s">
        <v>2279</v>
      </c>
      <c r="K750" t="s">
        <v>2279</v>
      </c>
      <c r="L750" t="s">
        <v>1447</v>
      </c>
      <c r="M750" t="s">
        <v>2279</v>
      </c>
      <c r="N750" t="s">
        <v>2279</v>
      </c>
      <c r="O750" s="190" t="str">
        <f>"["&amp;$C750&amp;"]["&amp;$D750&amp;"]["&amp;$F750&amp;"]"</f>
        <v>[S05_ContinuousEmissionsMeasurementDetail][7][FlueGasContainBiomass]</v>
      </c>
    </row>
    <row r="751" spans="1:15" x14ac:dyDescent="0.3">
      <c r="A751" t="s">
        <v>2277</v>
      </c>
      <c r="B751" t="s">
        <v>1902</v>
      </c>
      <c r="C751" t="s">
        <v>1904</v>
      </c>
      <c r="D751">
        <v>8</v>
      </c>
      <c r="E751" t="s">
        <v>1447</v>
      </c>
      <c r="F751" t="s">
        <v>1909</v>
      </c>
      <c r="G751" t="s">
        <v>1759</v>
      </c>
      <c r="H751" t="s">
        <v>2279</v>
      </c>
      <c r="I751" t="s">
        <v>2279</v>
      </c>
      <c r="J751" t="s">
        <v>2279</v>
      </c>
      <c r="K751" t="s">
        <v>2279</v>
      </c>
      <c r="L751" t="s">
        <v>1447</v>
      </c>
      <c r="M751" t="s">
        <v>2279</v>
      </c>
      <c r="N751" t="s">
        <v>2279</v>
      </c>
      <c r="O751" s="190" t="str">
        <f>"["&amp;$C751&amp;"]["&amp;$D751&amp;"]["&amp;$F751&amp;"]"</f>
        <v>[S05_ContinuousEmissionsMeasurementDetail][8][FlueGasContainBiomass]</v>
      </c>
    </row>
    <row r="752" spans="1:15" x14ac:dyDescent="0.3">
      <c r="A752" t="s">
        <v>2277</v>
      </c>
      <c r="B752" t="s">
        <v>1902</v>
      </c>
      <c r="C752" t="s">
        <v>1904</v>
      </c>
      <c r="D752">
        <v>9</v>
      </c>
      <c r="E752" t="s">
        <v>1447</v>
      </c>
      <c r="F752" t="s">
        <v>1909</v>
      </c>
      <c r="G752" t="s">
        <v>1759</v>
      </c>
      <c r="H752" t="s">
        <v>2279</v>
      </c>
      <c r="I752" t="s">
        <v>2279</v>
      </c>
      <c r="J752" t="s">
        <v>2279</v>
      </c>
      <c r="K752" t="s">
        <v>2279</v>
      </c>
      <c r="L752" t="s">
        <v>1447</v>
      </c>
      <c r="M752" t="s">
        <v>2279</v>
      </c>
      <c r="N752" t="s">
        <v>2279</v>
      </c>
      <c r="O752" s="190" t="str">
        <f>"["&amp;$C752&amp;"]["&amp;$D752&amp;"]["&amp;$F752&amp;"]"</f>
        <v>[S05_ContinuousEmissionsMeasurementDetail][9][FlueGasContainBiomass]</v>
      </c>
    </row>
    <row r="753" spans="1:15" x14ac:dyDescent="0.3">
      <c r="A753" t="s">
        <v>2277</v>
      </c>
      <c r="B753" t="s">
        <v>1902</v>
      </c>
      <c r="C753" t="s">
        <v>1904</v>
      </c>
      <c r="D753">
        <v>10</v>
      </c>
      <c r="E753" t="s">
        <v>1447</v>
      </c>
      <c r="F753" t="s">
        <v>1909</v>
      </c>
      <c r="G753" t="s">
        <v>1759</v>
      </c>
      <c r="H753" t="s">
        <v>2279</v>
      </c>
      <c r="I753" t="s">
        <v>2279</v>
      </c>
      <c r="J753" t="s">
        <v>2279</v>
      </c>
      <c r="K753" t="s">
        <v>2279</v>
      </c>
      <c r="L753" t="s">
        <v>1447</v>
      </c>
      <c r="M753" t="s">
        <v>2279</v>
      </c>
      <c r="N753" t="s">
        <v>2279</v>
      </c>
      <c r="O753" s="190" t="str">
        <f>"["&amp;$C753&amp;"]["&amp;$D753&amp;"]["&amp;$F753&amp;"]"</f>
        <v>[S05_ContinuousEmissionsMeasurementDetail][10][FlueGasContainBiomass]</v>
      </c>
    </row>
    <row r="754" spans="1:15" x14ac:dyDescent="0.3">
      <c r="A754" t="s">
        <v>2277</v>
      </c>
      <c r="B754" t="s">
        <v>1902</v>
      </c>
      <c r="C754" t="s">
        <v>1904</v>
      </c>
      <c r="D754">
        <v>11</v>
      </c>
      <c r="E754" t="s">
        <v>1447</v>
      </c>
      <c r="F754" t="s">
        <v>1909</v>
      </c>
      <c r="G754" t="s">
        <v>1759</v>
      </c>
      <c r="H754" t="s">
        <v>2279</v>
      </c>
      <c r="I754" t="s">
        <v>2279</v>
      </c>
      <c r="J754" t="s">
        <v>2279</v>
      </c>
      <c r="K754" t="s">
        <v>2279</v>
      </c>
      <c r="L754" t="s">
        <v>1447</v>
      </c>
      <c r="M754" t="s">
        <v>2279</v>
      </c>
      <c r="N754" t="s">
        <v>2279</v>
      </c>
      <c r="O754" s="190" t="str">
        <f>"["&amp;$C754&amp;"]["&amp;$D754&amp;"]["&amp;$F754&amp;"]"</f>
        <v>[S05_ContinuousEmissionsMeasurementDetail][11][FlueGasContainBiomass]</v>
      </c>
    </row>
    <row r="755" spans="1:15" x14ac:dyDescent="0.3">
      <c r="A755" t="s">
        <v>2277</v>
      </c>
      <c r="B755" t="s">
        <v>1902</v>
      </c>
      <c r="C755" t="s">
        <v>1904</v>
      </c>
      <c r="D755">
        <v>12</v>
      </c>
      <c r="E755" t="s">
        <v>1447</v>
      </c>
      <c r="F755" t="s">
        <v>1909</v>
      </c>
      <c r="G755" t="s">
        <v>1759</v>
      </c>
      <c r="H755" t="s">
        <v>2279</v>
      </c>
      <c r="I755" t="s">
        <v>2279</v>
      </c>
      <c r="J755" t="s">
        <v>2279</v>
      </c>
      <c r="K755" t="s">
        <v>2279</v>
      </c>
      <c r="L755" t="s">
        <v>1419</v>
      </c>
      <c r="M755" t="s">
        <v>2279</v>
      </c>
      <c r="N755" t="s">
        <v>2279</v>
      </c>
      <c r="O755" s="190" t="str">
        <f>"["&amp;$C755&amp;"]["&amp;$D755&amp;"]["&amp;$F755&amp;"]"</f>
        <v>[S05_ContinuousEmissionsMeasurementDetail][12][FlueGasContainBiomass]</v>
      </c>
    </row>
    <row r="756" spans="1:15" x14ac:dyDescent="0.3">
      <c r="A756" t="s">
        <v>2277</v>
      </c>
      <c r="B756" t="s">
        <v>1902</v>
      </c>
      <c r="C756" t="s">
        <v>1904</v>
      </c>
      <c r="D756">
        <v>13</v>
      </c>
      <c r="E756" t="s">
        <v>1447</v>
      </c>
      <c r="F756" t="s">
        <v>1909</v>
      </c>
      <c r="G756" t="s">
        <v>1759</v>
      </c>
      <c r="H756" t="s">
        <v>2279</v>
      </c>
      <c r="I756" t="s">
        <v>2279</v>
      </c>
      <c r="J756" t="s">
        <v>2279</v>
      </c>
      <c r="K756" t="s">
        <v>2279</v>
      </c>
      <c r="L756" t="s">
        <v>1419</v>
      </c>
      <c r="M756" t="s">
        <v>2279</v>
      </c>
      <c r="N756" t="s">
        <v>2279</v>
      </c>
      <c r="O756" s="190" t="str">
        <f>"["&amp;$C756&amp;"]["&amp;$D756&amp;"]["&amp;$F756&amp;"]"</f>
        <v>[S05_ContinuousEmissionsMeasurementDetail][13][FlueGasContainBiomass]</v>
      </c>
    </row>
    <row r="757" spans="1:15" x14ac:dyDescent="0.3">
      <c r="A757" t="s">
        <v>2277</v>
      </c>
      <c r="B757" t="s">
        <v>1902</v>
      </c>
      <c r="C757" t="s">
        <v>1904</v>
      </c>
      <c r="D757">
        <v>14</v>
      </c>
      <c r="E757" t="s">
        <v>1447</v>
      </c>
      <c r="F757" t="s">
        <v>1909</v>
      </c>
      <c r="G757" t="s">
        <v>1759</v>
      </c>
      <c r="H757" t="s">
        <v>2279</v>
      </c>
      <c r="I757" t="s">
        <v>2279</v>
      </c>
      <c r="J757" t="s">
        <v>2279</v>
      </c>
      <c r="K757" t="s">
        <v>2279</v>
      </c>
      <c r="L757" t="s">
        <v>1447</v>
      </c>
      <c r="M757" t="s">
        <v>2279</v>
      </c>
      <c r="N757" t="s">
        <v>2279</v>
      </c>
      <c r="O757" s="190" t="str">
        <f>"["&amp;$C757&amp;"]["&amp;$D757&amp;"]["&amp;$F757&amp;"]"</f>
        <v>[S05_ContinuousEmissionsMeasurementDetail][14][FlueGasContainBiomass]</v>
      </c>
    </row>
    <row r="758" spans="1:15" x14ac:dyDescent="0.3">
      <c r="A758" t="s">
        <v>2277</v>
      </c>
      <c r="B758" t="s">
        <v>1902</v>
      </c>
      <c r="C758" t="s">
        <v>1904</v>
      </c>
      <c r="D758">
        <v>15</v>
      </c>
      <c r="E758" t="s">
        <v>1447</v>
      </c>
      <c r="F758" t="s">
        <v>1909</v>
      </c>
      <c r="G758" t="s">
        <v>1759</v>
      </c>
      <c r="H758" t="s">
        <v>2279</v>
      </c>
      <c r="I758" t="s">
        <v>2279</v>
      </c>
      <c r="J758" t="s">
        <v>2279</v>
      </c>
      <c r="K758" t="s">
        <v>2279</v>
      </c>
      <c r="L758" t="s">
        <v>1447</v>
      </c>
      <c r="M758" t="s">
        <v>2279</v>
      </c>
      <c r="N758" t="s">
        <v>2279</v>
      </c>
      <c r="O758" s="190" t="str">
        <f>"["&amp;$C758&amp;"]["&amp;$D758&amp;"]["&amp;$F758&amp;"]"</f>
        <v>[S05_ContinuousEmissionsMeasurementDetail][15][FlueGasContainBiomass]</v>
      </c>
    </row>
    <row r="759" spans="1:15" x14ac:dyDescent="0.3">
      <c r="A759" t="s">
        <v>2277</v>
      </c>
      <c r="B759" t="s">
        <v>1902</v>
      </c>
      <c r="C759" t="s">
        <v>1904</v>
      </c>
      <c r="D759">
        <v>16</v>
      </c>
      <c r="E759" t="s">
        <v>1447</v>
      </c>
      <c r="F759" t="s">
        <v>1909</v>
      </c>
      <c r="G759" t="s">
        <v>1759</v>
      </c>
      <c r="H759" t="s">
        <v>2279</v>
      </c>
      <c r="I759" t="s">
        <v>2279</v>
      </c>
      <c r="J759" t="s">
        <v>2279</v>
      </c>
      <c r="K759" t="s">
        <v>2279</v>
      </c>
      <c r="L759" t="s">
        <v>1447</v>
      </c>
      <c r="M759" t="s">
        <v>2279</v>
      </c>
      <c r="N759" t="s">
        <v>2279</v>
      </c>
      <c r="O759" s="190" t="str">
        <f>"["&amp;$C759&amp;"]["&amp;$D759&amp;"]["&amp;$F759&amp;"]"</f>
        <v>[S05_ContinuousEmissionsMeasurementDetail][16][FlueGasContainBiomass]</v>
      </c>
    </row>
    <row r="760" spans="1:15" x14ac:dyDescent="0.3">
      <c r="A760" t="s">
        <v>2277</v>
      </c>
      <c r="B760" t="s">
        <v>1902</v>
      </c>
      <c r="C760" t="s">
        <v>1904</v>
      </c>
      <c r="D760">
        <v>17</v>
      </c>
      <c r="E760" t="s">
        <v>1447</v>
      </c>
      <c r="F760" t="s">
        <v>1909</v>
      </c>
      <c r="G760" t="s">
        <v>1759</v>
      </c>
      <c r="H760" t="s">
        <v>2279</v>
      </c>
      <c r="I760" t="s">
        <v>2279</v>
      </c>
      <c r="J760" t="s">
        <v>2279</v>
      </c>
      <c r="K760" t="s">
        <v>2279</v>
      </c>
      <c r="L760" t="s">
        <v>1447</v>
      </c>
      <c r="M760" t="s">
        <v>2279</v>
      </c>
      <c r="N760" t="s">
        <v>2279</v>
      </c>
      <c r="O760" s="190" t="str">
        <f>"["&amp;$C760&amp;"]["&amp;$D760&amp;"]["&amp;$F760&amp;"]"</f>
        <v>[S05_ContinuousEmissionsMeasurementDetail][17][FlueGasContainBiomass]</v>
      </c>
    </row>
    <row r="761" spans="1:15" x14ac:dyDescent="0.3">
      <c r="A761" t="s">
        <v>2277</v>
      </c>
      <c r="B761" t="s">
        <v>1902</v>
      </c>
      <c r="C761" t="s">
        <v>1904</v>
      </c>
      <c r="D761">
        <v>18</v>
      </c>
      <c r="E761" t="s">
        <v>1447</v>
      </c>
      <c r="F761" t="s">
        <v>1909</v>
      </c>
      <c r="G761" t="s">
        <v>1759</v>
      </c>
      <c r="H761" t="s">
        <v>2279</v>
      </c>
      <c r="I761" t="s">
        <v>2279</v>
      </c>
      <c r="J761" t="s">
        <v>2279</v>
      </c>
      <c r="K761" t="s">
        <v>2279</v>
      </c>
      <c r="L761" t="s">
        <v>1419</v>
      </c>
      <c r="M761" t="s">
        <v>2279</v>
      </c>
      <c r="N761" t="s">
        <v>2279</v>
      </c>
      <c r="O761" s="190" t="str">
        <f>"["&amp;$C761&amp;"]["&amp;$D761&amp;"]["&amp;$F761&amp;"]"</f>
        <v>[S05_ContinuousEmissionsMeasurementDetail][18][FlueGasContainBiomass]</v>
      </c>
    </row>
    <row r="762" spans="1:15" x14ac:dyDescent="0.3">
      <c r="A762" t="s">
        <v>2277</v>
      </c>
      <c r="B762" t="s">
        <v>1902</v>
      </c>
      <c r="C762" t="s">
        <v>1904</v>
      </c>
      <c r="D762">
        <v>19</v>
      </c>
      <c r="E762" t="s">
        <v>1447</v>
      </c>
      <c r="F762" t="s">
        <v>1909</v>
      </c>
      <c r="G762" t="s">
        <v>1759</v>
      </c>
      <c r="H762" t="s">
        <v>2279</v>
      </c>
      <c r="I762" t="s">
        <v>2279</v>
      </c>
      <c r="J762" t="s">
        <v>2279</v>
      </c>
      <c r="K762" t="s">
        <v>2279</v>
      </c>
      <c r="L762" t="s">
        <v>1447</v>
      </c>
      <c r="M762" t="s">
        <v>2279</v>
      </c>
      <c r="N762" t="s">
        <v>2279</v>
      </c>
      <c r="O762" s="190" t="str">
        <f>"["&amp;$C762&amp;"]["&amp;$D762&amp;"]["&amp;$F762&amp;"]"</f>
        <v>[S05_ContinuousEmissionsMeasurementDetail][19][FlueGasContainBiomass]</v>
      </c>
    </row>
    <row r="763" spans="1:15" x14ac:dyDescent="0.3">
      <c r="A763" t="s">
        <v>2277</v>
      </c>
      <c r="B763" t="s">
        <v>1902</v>
      </c>
      <c r="C763" t="s">
        <v>1904</v>
      </c>
      <c r="D763">
        <v>20</v>
      </c>
      <c r="E763" t="s">
        <v>1447</v>
      </c>
      <c r="F763" t="s">
        <v>1909</v>
      </c>
      <c r="G763" t="s">
        <v>1759</v>
      </c>
      <c r="H763" t="s">
        <v>2279</v>
      </c>
      <c r="I763" t="s">
        <v>2279</v>
      </c>
      <c r="J763" t="s">
        <v>2279</v>
      </c>
      <c r="K763" t="s">
        <v>2279</v>
      </c>
      <c r="L763" t="s">
        <v>1447</v>
      </c>
      <c r="M763" t="s">
        <v>2279</v>
      </c>
      <c r="N763" t="s">
        <v>2279</v>
      </c>
      <c r="O763" s="190" t="str">
        <f>"["&amp;$C763&amp;"]["&amp;$D763&amp;"]["&amp;$F763&amp;"]"</f>
        <v>[S05_ContinuousEmissionsMeasurementDetail][20][FlueGasContainBiomass]</v>
      </c>
    </row>
    <row r="764" spans="1:15" x14ac:dyDescent="0.3">
      <c r="A764" t="s">
        <v>2277</v>
      </c>
      <c r="B764" t="s">
        <v>1902</v>
      </c>
      <c r="C764" t="s">
        <v>1904</v>
      </c>
      <c r="D764">
        <v>21</v>
      </c>
      <c r="E764" t="s">
        <v>1447</v>
      </c>
      <c r="F764" t="s">
        <v>1909</v>
      </c>
      <c r="G764" t="s">
        <v>1759</v>
      </c>
      <c r="H764" t="s">
        <v>2279</v>
      </c>
      <c r="I764" t="s">
        <v>2279</v>
      </c>
      <c r="J764" t="s">
        <v>2279</v>
      </c>
      <c r="K764" t="s">
        <v>2279</v>
      </c>
      <c r="L764" t="s">
        <v>1447</v>
      </c>
      <c r="M764" t="s">
        <v>2279</v>
      </c>
      <c r="N764" t="s">
        <v>2279</v>
      </c>
      <c r="O764" s="190" t="str">
        <f>"["&amp;$C764&amp;"]["&amp;$D764&amp;"]["&amp;$F764&amp;"]"</f>
        <v>[S05_ContinuousEmissionsMeasurementDetail][21][FlueGasContainBiomass]</v>
      </c>
    </row>
    <row r="765" spans="1:15" x14ac:dyDescent="0.3">
      <c r="A765" t="s">
        <v>2277</v>
      </c>
      <c r="B765" t="s">
        <v>1902</v>
      </c>
      <c r="C765" t="s">
        <v>1904</v>
      </c>
      <c r="D765">
        <v>22</v>
      </c>
      <c r="E765" t="s">
        <v>1447</v>
      </c>
      <c r="F765" t="s">
        <v>1909</v>
      </c>
      <c r="G765" t="s">
        <v>1759</v>
      </c>
      <c r="H765" t="s">
        <v>2279</v>
      </c>
      <c r="I765" t="s">
        <v>2279</v>
      </c>
      <c r="J765" t="s">
        <v>2279</v>
      </c>
      <c r="K765" t="s">
        <v>2279</v>
      </c>
      <c r="L765" t="s">
        <v>1447</v>
      </c>
      <c r="M765" t="s">
        <v>2279</v>
      </c>
      <c r="N765" t="s">
        <v>2279</v>
      </c>
      <c r="O765" s="190" t="str">
        <f>"["&amp;$C765&amp;"]["&amp;$D765&amp;"]["&amp;$F765&amp;"]"</f>
        <v>[S05_ContinuousEmissionsMeasurementDetail][22][FlueGasContainBiomass]</v>
      </c>
    </row>
    <row r="766" spans="1:15" x14ac:dyDescent="0.3">
      <c r="A766" t="s">
        <v>2277</v>
      </c>
      <c r="B766" t="s">
        <v>1910</v>
      </c>
      <c r="C766" t="s">
        <v>1911</v>
      </c>
      <c r="D766">
        <v>0</v>
      </c>
      <c r="E766" t="s">
        <v>1447</v>
      </c>
      <c r="F766" t="s">
        <v>1911</v>
      </c>
      <c r="G766" t="s">
        <v>1741</v>
      </c>
      <c r="H766" t="s">
        <v>2380</v>
      </c>
      <c r="I766" t="s">
        <v>2279</v>
      </c>
      <c r="J766" t="s">
        <v>2279</v>
      </c>
      <c r="K766" t="s">
        <v>2279</v>
      </c>
      <c r="L766" t="s">
        <v>2279</v>
      </c>
      <c r="M766" t="s">
        <v>2279</v>
      </c>
      <c r="N766" t="s">
        <v>2279</v>
      </c>
      <c r="O766" s="190" t="str">
        <f>"["&amp;$C766&amp;"]["&amp;$D766&amp;"]["&amp;$F766&amp;"]"</f>
        <v>[SustainabilityComplianceDemonstrate][0][SustainabilityComplianceDemonstrate]</v>
      </c>
    </row>
    <row r="767" spans="1:15" x14ac:dyDescent="0.3">
      <c r="A767" t="s">
        <v>2277</v>
      </c>
      <c r="B767" t="s">
        <v>1910</v>
      </c>
      <c r="C767" t="s">
        <v>1912</v>
      </c>
      <c r="D767">
        <v>1</v>
      </c>
      <c r="E767" t="s">
        <v>1447</v>
      </c>
      <c r="F767" t="s">
        <v>1888</v>
      </c>
      <c r="G767" t="s">
        <v>1737</v>
      </c>
      <c r="H767" t="s">
        <v>2279</v>
      </c>
      <c r="I767" t="s">
        <v>2279</v>
      </c>
      <c r="J767" t="s">
        <v>2279</v>
      </c>
      <c r="K767" t="s">
        <v>2279</v>
      </c>
      <c r="L767" t="s">
        <v>1577</v>
      </c>
      <c r="M767" t="s">
        <v>2279</v>
      </c>
      <c r="N767" t="s">
        <v>2279</v>
      </c>
      <c r="O767" s="190" t="str">
        <f>"["&amp;$C767&amp;"]["&amp;$D767&amp;"]["&amp;$F767&amp;"]"</f>
        <v>[S05_BiomassInstallations][1][Annex1Activity]</v>
      </c>
    </row>
    <row r="768" spans="1:15" x14ac:dyDescent="0.3">
      <c r="A768" t="s">
        <v>2277</v>
      </c>
      <c r="B768" t="s">
        <v>1910</v>
      </c>
      <c r="C768" t="s">
        <v>1912</v>
      </c>
      <c r="D768">
        <v>2</v>
      </c>
      <c r="E768" t="s">
        <v>1447</v>
      </c>
      <c r="F768" t="s">
        <v>1888</v>
      </c>
      <c r="G768" t="s">
        <v>1737</v>
      </c>
      <c r="H768" t="s">
        <v>2279</v>
      </c>
      <c r="I768" t="s">
        <v>2279</v>
      </c>
      <c r="J768" t="s">
        <v>2279</v>
      </c>
      <c r="K768" t="s">
        <v>2279</v>
      </c>
      <c r="L768" t="s">
        <v>1420</v>
      </c>
      <c r="M768" t="s">
        <v>2279</v>
      </c>
      <c r="N768" t="s">
        <v>2279</v>
      </c>
      <c r="O768" s="190" t="str">
        <f>"["&amp;$C768&amp;"]["&amp;$D768&amp;"]["&amp;$F768&amp;"]"</f>
        <v>[S05_BiomassInstallations][2][Annex1Activity]</v>
      </c>
    </row>
    <row r="769" spans="1:15" x14ac:dyDescent="0.3">
      <c r="A769" t="s">
        <v>2277</v>
      </c>
      <c r="B769" t="s">
        <v>1910</v>
      </c>
      <c r="C769" t="s">
        <v>1912</v>
      </c>
      <c r="D769">
        <v>3</v>
      </c>
      <c r="E769" t="s">
        <v>1447</v>
      </c>
      <c r="F769" t="s">
        <v>1888</v>
      </c>
      <c r="G769" t="s">
        <v>1737</v>
      </c>
      <c r="H769" t="s">
        <v>2279</v>
      </c>
      <c r="I769" t="s">
        <v>2279</v>
      </c>
      <c r="J769" t="s">
        <v>2279</v>
      </c>
      <c r="K769" t="s">
        <v>2279</v>
      </c>
      <c r="L769" t="s">
        <v>1420</v>
      </c>
      <c r="M769" t="s">
        <v>2279</v>
      </c>
      <c r="N769" t="s">
        <v>2279</v>
      </c>
      <c r="O769" s="190" t="str">
        <f>"["&amp;$C769&amp;"]["&amp;$D769&amp;"]["&amp;$F769&amp;"]"</f>
        <v>[S05_BiomassInstallations][3][Annex1Activity]</v>
      </c>
    </row>
    <row r="770" spans="1:15" x14ac:dyDescent="0.3">
      <c r="A770" t="s">
        <v>2277</v>
      </c>
      <c r="B770" t="s">
        <v>1910</v>
      </c>
      <c r="C770" t="s">
        <v>1912</v>
      </c>
      <c r="D770">
        <v>4</v>
      </c>
      <c r="E770" t="s">
        <v>1447</v>
      </c>
      <c r="F770" t="s">
        <v>1888</v>
      </c>
      <c r="G770" t="s">
        <v>1737</v>
      </c>
      <c r="H770" t="s">
        <v>2279</v>
      </c>
      <c r="I770" t="s">
        <v>2279</v>
      </c>
      <c r="J770" t="s">
        <v>2279</v>
      </c>
      <c r="K770" t="s">
        <v>2279</v>
      </c>
      <c r="L770" t="s">
        <v>1420</v>
      </c>
      <c r="M770" t="s">
        <v>2279</v>
      </c>
      <c r="N770" t="s">
        <v>2279</v>
      </c>
      <c r="O770" s="190" t="str">
        <f>"["&amp;$C770&amp;"]["&amp;$D770&amp;"]["&amp;$F770&amp;"]"</f>
        <v>[S05_BiomassInstallations][4][Annex1Activity]</v>
      </c>
    </row>
    <row r="771" spans="1:15" x14ac:dyDescent="0.3">
      <c r="A771" t="s">
        <v>2277</v>
      </c>
      <c r="B771" t="s">
        <v>1910</v>
      </c>
      <c r="C771" t="s">
        <v>1912</v>
      </c>
      <c r="D771">
        <v>5</v>
      </c>
      <c r="E771" t="s">
        <v>1447</v>
      </c>
      <c r="F771" t="s">
        <v>1888</v>
      </c>
      <c r="G771" t="s">
        <v>1737</v>
      </c>
      <c r="H771" t="s">
        <v>2279</v>
      </c>
      <c r="I771" t="s">
        <v>2279</v>
      </c>
      <c r="J771" t="s">
        <v>2279</v>
      </c>
      <c r="K771" t="s">
        <v>2279</v>
      </c>
      <c r="L771" t="s">
        <v>1592</v>
      </c>
      <c r="M771" t="s">
        <v>2279</v>
      </c>
      <c r="N771" t="s">
        <v>2279</v>
      </c>
      <c r="O771" s="190" t="str">
        <f>"["&amp;$C771&amp;"]["&amp;$D771&amp;"]["&amp;$F771&amp;"]"</f>
        <v>[S05_BiomassInstallations][5][Annex1Activity]</v>
      </c>
    </row>
    <row r="772" spans="1:15" x14ac:dyDescent="0.3">
      <c r="A772" t="s">
        <v>2277</v>
      </c>
      <c r="B772" t="s">
        <v>1910</v>
      </c>
      <c r="C772" t="s">
        <v>1912</v>
      </c>
      <c r="D772">
        <v>6</v>
      </c>
      <c r="E772" t="s">
        <v>1447</v>
      </c>
      <c r="F772" t="s">
        <v>1888</v>
      </c>
      <c r="G772" t="s">
        <v>1737</v>
      </c>
      <c r="H772" t="s">
        <v>2279</v>
      </c>
      <c r="I772" t="s">
        <v>2279</v>
      </c>
      <c r="J772" t="s">
        <v>2279</v>
      </c>
      <c r="K772" t="s">
        <v>2279</v>
      </c>
      <c r="L772" t="s">
        <v>1592</v>
      </c>
      <c r="M772" t="s">
        <v>2279</v>
      </c>
      <c r="N772" t="s">
        <v>2279</v>
      </c>
      <c r="O772" s="190" t="str">
        <f>"["&amp;$C772&amp;"]["&amp;$D772&amp;"]["&amp;$F772&amp;"]"</f>
        <v>[S05_BiomassInstallations][6][Annex1Activity]</v>
      </c>
    </row>
    <row r="773" spans="1:15" x14ac:dyDescent="0.3">
      <c r="A773" t="s">
        <v>2277</v>
      </c>
      <c r="B773" t="s">
        <v>1910</v>
      </c>
      <c r="C773" t="s">
        <v>1912</v>
      </c>
      <c r="D773">
        <v>7</v>
      </c>
      <c r="E773" t="s">
        <v>1447</v>
      </c>
      <c r="F773" t="s">
        <v>1888</v>
      </c>
      <c r="G773" t="s">
        <v>1737</v>
      </c>
      <c r="H773" t="s">
        <v>2279</v>
      </c>
      <c r="I773" t="s">
        <v>2279</v>
      </c>
      <c r="J773" t="s">
        <v>2279</v>
      </c>
      <c r="K773" t="s">
        <v>2279</v>
      </c>
      <c r="L773" t="s">
        <v>1562</v>
      </c>
      <c r="M773" t="s">
        <v>2279</v>
      </c>
      <c r="N773" t="s">
        <v>2279</v>
      </c>
      <c r="O773" s="190" t="str">
        <f>"["&amp;$C773&amp;"]["&amp;$D773&amp;"]["&amp;$F773&amp;"]"</f>
        <v>[S05_BiomassInstallations][7][Annex1Activity]</v>
      </c>
    </row>
    <row r="774" spans="1:15" x14ac:dyDescent="0.3">
      <c r="A774" t="s">
        <v>2277</v>
      </c>
      <c r="B774" t="s">
        <v>1910</v>
      </c>
      <c r="C774" t="s">
        <v>1912</v>
      </c>
      <c r="D774">
        <v>8</v>
      </c>
      <c r="E774" t="s">
        <v>1447</v>
      </c>
      <c r="F774" t="s">
        <v>1888</v>
      </c>
      <c r="G774" t="s">
        <v>1737</v>
      </c>
      <c r="H774" t="s">
        <v>2279</v>
      </c>
      <c r="I774" t="s">
        <v>2279</v>
      </c>
      <c r="J774" t="s">
        <v>2279</v>
      </c>
      <c r="K774" t="s">
        <v>2279</v>
      </c>
      <c r="L774" t="s">
        <v>1562</v>
      </c>
      <c r="M774" t="s">
        <v>2279</v>
      </c>
      <c r="N774" t="s">
        <v>2279</v>
      </c>
      <c r="O774" s="190" t="str">
        <f>"["&amp;$C774&amp;"]["&amp;$D774&amp;"]["&amp;$F774&amp;"]"</f>
        <v>[S05_BiomassInstallations][8][Annex1Activity]</v>
      </c>
    </row>
    <row r="775" spans="1:15" x14ac:dyDescent="0.3">
      <c r="A775" t="s">
        <v>2277</v>
      </c>
      <c r="B775" t="s">
        <v>1910</v>
      </c>
      <c r="C775" t="s">
        <v>1912</v>
      </c>
      <c r="D775">
        <v>9</v>
      </c>
      <c r="E775" t="s">
        <v>1447</v>
      </c>
      <c r="F775" t="s">
        <v>1888</v>
      </c>
      <c r="G775" t="s">
        <v>1737</v>
      </c>
      <c r="H775" t="s">
        <v>2279</v>
      </c>
      <c r="I775" t="s">
        <v>2279</v>
      </c>
      <c r="J775" t="s">
        <v>2279</v>
      </c>
      <c r="K775" t="s">
        <v>2279</v>
      </c>
      <c r="L775" t="s">
        <v>1568</v>
      </c>
      <c r="M775" t="s">
        <v>2279</v>
      </c>
      <c r="N775" t="s">
        <v>2279</v>
      </c>
      <c r="O775" s="190" t="str">
        <f>"["&amp;$C775&amp;"]["&amp;$D775&amp;"]["&amp;$F775&amp;"]"</f>
        <v>[S05_BiomassInstallations][9][Annex1Activity]</v>
      </c>
    </row>
    <row r="776" spans="1:15" x14ac:dyDescent="0.3">
      <c r="A776" t="s">
        <v>2277</v>
      </c>
      <c r="B776" t="s">
        <v>1910</v>
      </c>
      <c r="C776" t="s">
        <v>1912</v>
      </c>
      <c r="D776">
        <v>10</v>
      </c>
      <c r="E776" t="s">
        <v>1447</v>
      </c>
      <c r="F776" t="s">
        <v>1888</v>
      </c>
      <c r="G776" t="s">
        <v>1737</v>
      </c>
      <c r="H776" t="s">
        <v>2279</v>
      </c>
      <c r="I776" t="s">
        <v>2279</v>
      </c>
      <c r="J776" t="s">
        <v>2279</v>
      </c>
      <c r="K776" t="s">
        <v>2279</v>
      </c>
      <c r="L776" t="s">
        <v>1597</v>
      </c>
      <c r="M776" t="s">
        <v>2279</v>
      </c>
      <c r="N776" t="s">
        <v>2279</v>
      </c>
      <c r="O776" s="190" t="str">
        <f>"["&amp;$C776&amp;"]["&amp;$D776&amp;"]["&amp;$F776&amp;"]"</f>
        <v>[S05_BiomassInstallations][10][Annex1Activity]</v>
      </c>
    </row>
    <row r="777" spans="1:15" x14ac:dyDescent="0.3">
      <c r="A777" t="s">
        <v>2277</v>
      </c>
      <c r="B777" t="s">
        <v>1910</v>
      </c>
      <c r="C777" t="s">
        <v>1912</v>
      </c>
      <c r="D777">
        <v>11</v>
      </c>
      <c r="E777" t="s">
        <v>1447</v>
      </c>
      <c r="F777" t="s">
        <v>1888</v>
      </c>
      <c r="G777" t="s">
        <v>1737</v>
      </c>
      <c r="H777" t="s">
        <v>2279</v>
      </c>
      <c r="I777" t="s">
        <v>2279</v>
      </c>
      <c r="J777" t="s">
        <v>2279</v>
      </c>
      <c r="K777" t="s">
        <v>2279</v>
      </c>
      <c r="L777" t="s">
        <v>1607</v>
      </c>
      <c r="M777" t="s">
        <v>2279</v>
      </c>
      <c r="N777" t="s">
        <v>2279</v>
      </c>
      <c r="O777" s="190" t="str">
        <f>"["&amp;$C777&amp;"]["&amp;$D777&amp;"]["&amp;$F777&amp;"]"</f>
        <v>[S05_BiomassInstallations][11][Annex1Activity]</v>
      </c>
    </row>
    <row r="778" spans="1:15" x14ac:dyDescent="0.3">
      <c r="A778" t="s">
        <v>2277</v>
      </c>
      <c r="B778" t="s">
        <v>1910</v>
      </c>
      <c r="C778" t="s">
        <v>1912</v>
      </c>
      <c r="D778">
        <v>12</v>
      </c>
      <c r="E778" t="s">
        <v>1447</v>
      </c>
      <c r="F778" t="s">
        <v>1888</v>
      </c>
      <c r="G778" t="s">
        <v>1737</v>
      </c>
      <c r="H778" t="s">
        <v>2279</v>
      </c>
      <c r="I778" t="s">
        <v>2279</v>
      </c>
      <c r="J778" t="s">
        <v>2279</v>
      </c>
      <c r="K778" t="s">
        <v>2279</v>
      </c>
      <c r="L778" t="s">
        <v>1518</v>
      </c>
      <c r="M778" t="s">
        <v>2279</v>
      </c>
      <c r="N778" t="s">
        <v>2279</v>
      </c>
      <c r="O778" s="190" t="str">
        <f>"["&amp;$C778&amp;"]["&amp;$D778&amp;"]["&amp;$F778&amp;"]"</f>
        <v>[S05_BiomassInstallations][12][Annex1Activity]</v>
      </c>
    </row>
    <row r="779" spans="1:15" x14ac:dyDescent="0.3">
      <c r="A779" t="s">
        <v>2277</v>
      </c>
      <c r="B779" t="s">
        <v>1910</v>
      </c>
      <c r="C779" t="s">
        <v>1912</v>
      </c>
      <c r="D779">
        <v>1</v>
      </c>
      <c r="E779" t="s">
        <v>1447</v>
      </c>
      <c r="F779" t="s">
        <v>1913</v>
      </c>
      <c r="G779" t="s">
        <v>1737</v>
      </c>
      <c r="H779" t="s">
        <v>2279</v>
      </c>
      <c r="I779" t="s">
        <v>2279</v>
      </c>
      <c r="J779" t="s">
        <v>2279</v>
      </c>
      <c r="K779" t="s">
        <v>2279</v>
      </c>
      <c r="L779" t="s">
        <v>1432</v>
      </c>
      <c r="M779" t="s">
        <v>2279</v>
      </c>
      <c r="N779" t="s">
        <v>2279</v>
      </c>
      <c r="O779" s="190" t="str">
        <f>"["&amp;$C779&amp;"]["&amp;$D779&amp;"]["&amp;$F779&amp;"]"</f>
        <v>[S05_BiomassInstallations][1][BiomassInstallationCategory]</v>
      </c>
    </row>
    <row r="780" spans="1:15" x14ac:dyDescent="0.3">
      <c r="A780" t="s">
        <v>2277</v>
      </c>
      <c r="B780" t="s">
        <v>1910</v>
      </c>
      <c r="C780" t="s">
        <v>1912</v>
      </c>
      <c r="D780">
        <v>2</v>
      </c>
      <c r="E780" t="s">
        <v>1447</v>
      </c>
      <c r="F780" t="s">
        <v>1913</v>
      </c>
      <c r="G780" t="s">
        <v>1737</v>
      </c>
      <c r="H780" t="s">
        <v>2279</v>
      </c>
      <c r="I780" t="s">
        <v>2279</v>
      </c>
      <c r="J780" t="s">
        <v>2279</v>
      </c>
      <c r="K780" t="s">
        <v>2279</v>
      </c>
      <c r="L780" t="s">
        <v>1487</v>
      </c>
      <c r="M780" t="s">
        <v>2279</v>
      </c>
      <c r="N780" t="s">
        <v>2279</v>
      </c>
      <c r="O780" s="190" t="str">
        <f>"["&amp;$C780&amp;"]["&amp;$D780&amp;"]["&amp;$F780&amp;"]"</f>
        <v>[S05_BiomassInstallations][2][BiomassInstallationCategory]</v>
      </c>
    </row>
    <row r="781" spans="1:15" x14ac:dyDescent="0.3">
      <c r="A781" t="s">
        <v>2277</v>
      </c>
      <c r="B781" t="s">
        <v>1910</v>
      </c>
      <c r="C781" t="s">
        <v>1912</v>
      </c>
      <c r="D781">
        <v>3</v>
      </c>
      <c r="E781" t="s">
        <v>1447</v>
      </c>
      <c r="F781" t="s">
        <v>1913</v>
      </c>
      <c r="G781" t="s">
        <v>1737</v>
      </c>
      <c r="H781" t="s">
        <v>2279</v>
      </c>
      <c r="I781" t="s">
        <v>2279</v>
      </c>
      <c r="J781" t="s">
        <v>2279</v>
      </c>
      <c r="K781" t="s">
        <v>2279</v>
      </c>
      <c r="L781" t="s">
        <v>1460</v>
      </c>
      <c r="M781" t="s">
        <v>2279</v>
      </c>
      <c r="N781" t="s">
        <v>2279</v>
      </c>
      <c r="O781" s="190" t="str">
        <f>"["&amp;$C781&amp;"]["&amp;$D781&amp;"]["&amp;$F781&amp;"]"</f>
        <v>[S05_BiomassInstallations][3][BiomassInstallationCategory]</v>
      </c>
    </row>
    <row r="782" spans="1:15" x14ac:dyDescent="0.3">
      <c r="A782" t="s">
        <v>2277</v>
      </c>
      <c r="B782" t="s">
        <v>1910</v>
      </c>
      <c r="C782" t="s">
        <v>1912</v>
      </c>
      <c r="D782">
        <v>4</v>
      </c>
      <c r="E782" t="s">
        <v>1447</v>
      </c>
      <c r="F782" t="s">
        <v>1913</v>
      </c>
      <c r="G782" t="s">
        <v>1737</v>
      </c>
      <c r="H782" t="s">
        <v>2279</v>
      </c>
      <c r="I782" t="s">
        <v>2279</v>
      </c>
      <c r="J782" t="s">
        <v>2279</v>
      </c>
      <c r="K782" t="s">
        <v>2279</v>
      </c>
      <c r="L782" t="s">
        <v>1432</v>
      </c>
      <c r="M782" t="s">
        <v>2279</v>
      </c>
      <c r="N782" t="s">
        <v>2279</v>
      </c>
      <c r="O782" s="190" t="str">
        <f>"["&amp;$C782&amp;"]["&amp;$D782&amp;"]["&amp;$F782&amp;"]"</f>
        <v>[S05_BiomassInstallations][4][BiomassInstallationCategory]</v>
      </c>
    </row>
    <row r="783" spans="1:15" x14ac:dyDescent="0.3">
      <c r="A783" t="s">
        <v>2277</v>
      </c>
      <c r="B783" t="s">
        <v>1910</v>
      </c>
      <c r="C783" t="s">
        <v>1912</v>
      </c>
      <c r="D783">
        <v>5</v>
      </c>
      <c r="E783" t="s">
        <v>1447</v>
      </c>
      <c r="F783" t="s">
        <v>1913</v>
      </c>
      <c r="G783" t="s">
        <v>1737</v>
      </c>
      <c r="H783" t="s">
        <v>2279</v>
      </c>
      <c r="I783" t="s">
        <v>2279</v>
      </c>
      <c r="J783" t="s">
        <v>2279</v>
      </c>
      <c r="K783" t="s">
        <v>2279</v>
      </c>
      <c r="L783" t="s">
        <v>1460</v>
      </c>
      <c r="M783" t="s">
        <v>2279</v>
      </c>
      <c r="N783" t="s">
        <v>2279</v>
      </c>
      <c r="O783" s="190" t="str">
        <f>"["&amp;$C783&amp;"]["&amp;$D783&amp;"]["&amp;$F783&amp;"]"</f>
        <v>[S05_BiomassInstallations][5][BiomassInstallationCategory]</v>
      </c>
    </row>
    <row r="784" spans="1:15" x14ac:dyDescent="0.3">
      <c r="A784" t="s">
        <v>2277</v>
      </c>
      <c r="B784" t="s">
        <v>1910</v>
      </c>
      <c r="C784" t="s">
        <v>1912</v>
      </c>
      <c r="D784">
        <v>6</v>
      </c>
      <c r="E784" t="s">
        <v>1447</v>
      </c>
      <c r="F784" t="s">
        <v>1913</v>
      </c>
      <c r="G784" t="s">
        <v>1737</v>
      </c>
      <c r="H784" t="s">
        <v>2279</v>
      </c>
      <c r="I784" t="s">
        <v>2279</v>
      </c>
      <c r="J784" t="s">
        <v>2279</v>
      </c>
      <c r="K784" t="s">
        <v>2279</v>
      </c>
      <c r="L784" t="s">
        <v>1432</v>
      </c>
      <c r="M784" t="s">
        <v>2279</v>
      </c>
      <c r="N784" t="s">
        <v>2279</v>
      </c>
      <c r="O784" s="190" t="str">
        <f>"["&amp;$C784&amp;"]["&amp;$D784&amp;"]["&amp;$F784&amp;"]"</f>
        <v>[S05_BiomassInstallations][6][BiomassInstallationCategory]</v>
      </c>
    </row>
    <row r="785" spans="1:15" x14ac:dyDescent="0.3">
      <c r="A785" t="s">
        <v>2277</v>
      </c>
      <c r="B785" t="s">
        <v>1910</v>
      </c>
      <c r="C785" t="s">
        <v>1912</v>
      </c>
      <c r="D785">
        <v>7</v>
      </c>
      <c r="E785" t="s">
        <v>1447</v>
      </c>
      <c r="F785" t="s">
        <v>1913</v>
      </c>
      <c r="G785" t="s">
        <v>1737</v>
      </c>
      <c r="H785" t="s">
        <v>2279</v>
      </c>
      <c r="I785" t="s">
        <v>2279</v>
      </c>
      <c r="J785" t="s">
        <v>2279</v>
      </c>
      <c r="K785" t="s">
        <v>2279</v>
      </c>
      <c r="L785" t="s">
        <v>1487</v>
      </c>
      <c r="M785" t="s">
        <v>2279</v>
      </c>
      <c r="N785" t="s">
        <v>2279</v>
      </c>
      <c r="O785" s="190" t="str">
        <f>"["&amp;$C785&amp;"]["&amp;$D785&amp;"]["&amp;$F785&amp;"]"</f>
        <v>[S05_BiomassInstallations][7][BiomassInstallationCategory]</v>
      </c>
    </row>
    <row r="786" spans="1:15" x14ac:dyDescent="0.3">
      <c r="A786" t="s">
        <v>2277</v>
      </c>
      <c r="B786" t="s">
        <v>1910</v>
      </c>
      <c r="C786" t="s">
        <v>1912</v>
      </c>
      <c r="D786">
        <v>8</v>
      </c>
      <c r="E786" t="s">
        <v>1447</v>
      </c>
      <c r="F786" t="s">
        <v>1913</v>
      </c>
      <c r="G786" t="s">
        <v>1737</v>
      </c>
      <c r="H786" t="s">
        <v>2279</v>
      </c>
      <c r="I786" t="s">
        <v>2279</v>
      </c>
      <c r="J786" t="s">
        <v>2279</v>
      </c>
      <c r="K786" t="s">
        <v>2279</v>
      </c>
      <c r="L786" t="s">
        <v>1460</v>
      </c>
      <c r="M786" t="s">
        <v>2279</v>
      </c>
      <c r="N786" t="s">
        <v>2279</v>
      </c>
      <c r="O786" s="190" t="str">
        <f>"["&amp;$C786&amp;"]["&amp;$D786&amp;"]["&amp;$F786&amp;"]"</f>
        <v>[S05_BiomassInstallations][8][BiomassInstallationCategory]</v>
      </c>
    </row>
    <row r="787" spans="1:15" x14ac:dyDescent="0.3">
      <c r="A787" t="s">
        <v>2277</v>
      </c>
      <c r="B787" t="s">
        <v>1910</v>
      </c>
      <c r="C787" t="s">
        <v>1912</v>
      </c>
      <c r="D787">
        <v>9</v>
      </c>
      <c r="E787" t="s">
        <v>1447</v>
      </c>
      <c r="F787" t="s">
        <v>1913</v>
      </c>
      <c r="G787" t="s">
        <v>1737</v>
      </c>
      <c r="H787" t="s">
        <v>2279</v>
      </c>
      <c r="I787" t="s">
        <v>2279</v>
      </c>
      <c r="J787" t="s">
        <v>2279</v>
      </c>
      <c r="K787" t="s">
        <v>2279</v>
      </c>
      <c r="L787" t="s">
        <v>1460</v>
      </c>
      <c r="M787" t="s">
        <v>2279</v>
      </c>
      <c r="N787" t="s">
        <v>2279</v>
      </c>
      <c r="O787" s="190" t="str">
        <f>"["&amp;$C787&amp;"]["&amp;$D787&amp;"]["&amp;$F787&amp;"]"</f>
        <v>[S05_BiomassInstallations][9][BiomassInstallationCategory]</v>
      </c>
    </row>
    <row r="788" spans="1:15" x14ac:dyDescent="0.3">
      <c r="A788" t="s">
        <v>2277</v>
      </c>
      <c r="B788" t="s">
        <v>1910</v>
      </c>
      <c r="C788" t="s">
        <v>1912</v>
      </c>
      <c r="D788">
        <v>10</v>
      </c>
      <c r="E788" t="s">
        <v>1447</v>
      </c>
      <c r="F788" t="s">
        <v>1913</v>
      </c>
      <c r="G788" t="s">
        <v>1737</v>
      </c>
      <c r="H788" t="s">
        <v>2279</v>
      </c>
      <c r="I788" t="s">
        <v>2279</v>
      </c>
      <c r="J788" t="s">
        <v>2279</v>
      </c>
      <c r="K788" t="s">
        <v>2279</v>
      </c>
      <c r="L788" t="s">
        <v>1432</v>
      </c>
      <c r="M788" t="s">
        <v>2279</v>
      </c>
      <c r="N788" t="s">
        <v>2279</v>
      </c>
      <c r="O788" s="190" t="str">
        <f>"["&amp;$C788&amp;"]["&amp;$D788&amp;"]["&amp;$F788&amp;"]"</f>
        <v>[S05_BiomassInstallations][10][BiomassInstallationCategory]</v>
      </c>
    </row>
    <row r="789" spans="1:15" x14ac:dyDescent="0.3">
      <c r="A789" t="s">
        <v>2277</v>
      </c>
      <c r="B789" t="s">
        <v>1910</v>
      </c>
      <c r="C789" t="s">
        <v>1912</v>
      </c>
      <c r="D789">
        <v>11</v>
      </c>
      <c r="E789" t="s">
        <v>1447</v>
      </c>
      <c r="F789" t="s">
        <v>1913</v>
      </c>
      <c r="G789" t="s">
        <v>1737</v>
      </c>
      <c r="H789" t="s">
        <v>2279</v>
      </c>
      <c r="I789" t="s">
        <v>2279</v>
      </c>
      <c r="J789" t="s">
        <v>2279</v>
      </c>
      <c r="K789" t="s">
        <v>2279</v>
      </c>
      <c r="L789" t="s">
        <v>1460</v>
      </c>
      <c r="M789" t="s">
        <v>2279</v>
      </c>
      <c r="N789" t="s">
        <v>2279</v>
      </c>
      <c r="O789" s="190" t="str">
        <f>"["&amp;$C789&amp;"]["&amp;$D789&amp;"]["&amp;$F789&amp;"]"</f>
        <v>[S05_BiomassInstallations][11][BiomassInstallationCategory]</v>
      </c>
    </row>
    <row r="790" spans="1:15" x14ac:dyDescent="0.3">
      <c r="A790" t="s">
        <v>2277</v>
      </c>
      <c r="B790" t="s">
        <v>1910</v>
      </c>
      <c r="C790" t="s">
        <v>1912</v>
      </c>
      <c r="D790">
        <v>12</v>
      </c>
      <c r="E790" t="s">
        <v>1447</v>
      </c>
      <c r="F790" t="s">
        <v>1913</v>
      </c>
      <c r="G790" t="s">
        <v>1737</v>
      </c>
      <c r="H790" t="s">
        <v>2279</v>
      </c>
      <c r="I790" t="s">
        <v>2279</v>
      </c>
      <c r="J790" t="s">
        <v>2279</v>
      </c>
      <c r="K790" t="s">
        <v>2279</v>
      </c>
      <c r="L790" t="s">
        <v>1460</v>
      </c>
      <c r="M790" t="s">
        <v>2279</v>
      </c>
      <c r="N790" t="s">
        <v>2279</v>
      </c>
      <c r="O790" s="190" t="str">
        <f>"["&amp;$C790&amp;"]["&amp;$D790&amp;"]["&amp;$F790&amp;"]"</f>
        <v>[S05_BiomassInstallations][12][BiomassInstallationCategory]</v>
      </c>
    </row>
    <row r="791" spans="1:15" x14ac:dyDescent="0.3">
      <c r="A791" t="s">
        <v>2277</v>
      </c>
      <c r="B791" t="s">
        <v>1910</v>
      </c>
      <c r="C791" t="s">
        <v>1912</v>
      </c>
      <c r="D791">
        <v>1</v>
      </c>
      <c r="E791" t="s">
        <v>1447</v>
      </c>
      <c r="F791" t="s">
        <v>1914</v>
      </c>
      <c r="G791" t="s">
        <v>1748</v>
      </c>
      <c r="H791" t="s">
        <v>2279</v>
      </c>
      <c r="I791">
        <v>13</v>
      </c>
      <c r="J791" t="s">
        <v>2279</v>
      </c>
      <c r="K791" t="s">
        <v>2279</v>
      </c>
      <c r="L791" t="s">
        <v>2279</v>
      </c>
      <c r="M791" t="s">
        <v>2279</v>
      </c>
      <c r="N791" t="s">
        <v>2279</v>
      </c>
      <c r="O791" s="190" t="str">
        <f>"["&amp;$C791&amp;"]["&amp;$D791&amp;"]["&amp;$F791&amp;"]"</f>
        <v>[S05_BiomassInstallations][1][NumberUsingBiomass]</v>
      </c>
    </row>
    <row r="792" spans="1:15" x14ac:dyDescent="0.3">
      <c r="A792" t="s">
        <v>2277</v>
      </c>
      <c r="B792" t="s">
        <v>1910</v>
      </c>
      <c r="C792" t="s">
        <v>1912</v>
      </c>
      <c r="D792">
        <v>2</v>
      </c>
      <c r="E792" t="s">
        <v>1447</v>
      </c>
      <c r="F792" t="s">
        <v>1914</v>
      </c>
      <c r="G792" t="s">
        <v>1748</v>
      </c>
      <c r="H792" t="s">
        <v>2279</v>
      </c>
      <c r="I792">
        <v>5</v>
      </c>
      <c r="J792" t="s">
        <v>2279</v>
      </c>
      <c r="K792" t="s">
        <v>2279</v>
      </c>
      <c r="L792" t="s">
        <v>2279</v>
      </c>
      <c r="M792" t="s">
        <v>2279</v>
      </c>
      <c r="N792" t="s">
        <v>2279</v>
      </c>
      <c r="O792" s="190" t="str">
        <f>"["&amp;$C792&amp;"]["&amp;$D792&amp;"]["&amp;$F792&amp;"]"</f>
        <v>[S05_BiomassInstallations][2][NumberUsingBiomass]</v>
      </c>
    </row>
    <row r="793" spans="1:15" x14ac:dyDescent="0.3">
      <c r="A793" t="s">
        <v>2277</v>
      </c>
      <c r="B793" t="s">
        <v>1910</v>
      </c>
      <c r="C793" t="s">
        <v>1912</v>
      </c>
      <c r="D793">
        <v>3</v>
      </c>
      <c r="E793" t="s">
        <v>1447</v>
      </c>
      <c r="F793" t="s">
        <v>1914</v>
      </c>
      <c r="G793" t="s">
        <v>1748</v>
      </c>
      <c r="H793" t="s">
        <v>2279</v>
      </c>
      <c r="I793">
        <v>14</v>
      </c>
      <c r="J793" t="s">
        <v>2279</v>
      </c>
      <c r="K793" t="s">
        <v>2279</v>
      </c>
      <c r="L793" t="s">
        <v>2279</v>
      </c>
      <c r="M793" t="s">
        <v>2279</v>
      </c>
      <c r="N793" t="s">
        <v>2279</v>
      </c>
      <c r="O793" s="190" t="str">
        <f>"["&amp;$C793&amp;"]["&amp;$D793&amp;"]["&amp;$F793&amp;"]"</f>
        <v>[S05_BiomassInstallations][3][NumberUsingBiomass]</v>
      </c>
    </row>
    <row r="794" spans="1:15" x14ac:dyDescent="0.3">
      <c r="A794" t="s">
        <v>2277</v>
      </c>
      <c r="B794" t="s">
        <v>1910</v>
      </c>
      <c r="C794" t="s">
        <v>1912</v>
      </c>
      <c r="D794">
        <v>4</v>
      </c>
      <c r="E794" t="s">
        <v>1447</v>
      </c>
      <c r="F794" t="s">
        <v>1914</v>
      </c>
      <c r="G794" t="s">
        <v>1748</v>
      </c>
      <c r="H794" t="s">
        <v>2279</v>
      </c>
      <c r="I794">
        <v>18</v>
      </c>
      <c r="J794" t="s">
        <v>2279</v>
      </c>
      <c r="K794" t="s">
        <v>2279</v>
      </c>
      <c r="L794" t="s">
        <v>2279</v>
      </c>
      <c r="M794" t="s">
        <v>2279</v>
      </c>
      <c r="N794" t="s">
        <v>2279</v>
      </c>
      <c r="O794" s="190" t="str">
        <f>"["&amp;$C794&amp;"]["&amp;$D794&amp;"]["&amp;$F794&amp;"]"</f>
        <v>[S05_BiomassInstallations][4][NumberUsingBiomass]</v>
      </c>
    </row>
    <row r="795" spans="1:15" x14ac:dyDescent="0.3">
      <c r="A795" t="s">
        <v>2277</v>
      </c>
      <c r="B795" t="s">
        <v>1910</v>
      </c>
      <c r="C795" t="s">
        <v>1912</v>
      </c>
      <c r="D795">
        <v>5</v>
      </c>
      <c r="E795" t="s">
        <v>1447</v>
      </c>
      <c r="F795" t="s">
        <v>1914</v>
      </c>
      <c r="G795" t="s">
        <v>1748</v>
      </c>
      <c r="H795" t="s">
        <v>2279</v>
      </c>
      <c r="I795">
        <v>1</v>
      </c>
      <c r="J795" t="s">
        <v>2279</v>
      </c>
      <c r="K795" t="s">
        <v>2279</v>
      </c>
      <c r="L795" t="s">
        <v>2279</v>
      </c>
      <c r="M795" t="s">
        <v>2279</v>
      </c>
      <c r="N795" t="s">
        <v>2279</v>
      </c>
      <c r="O795" s="190" t="str">
        <f>"["&amp;$C795&amp;"]["&amp;$D795&amp;"]["&amp;$F795&amp;"]"</f>
        <v>[S05_BiomassInstallations][5][NumberUsingBiomass]</v>
      </c>
    </row>
    <row r="796" spans="1:15" x14ac:dyDescent="0.3">
      <c r="A796" t="s">
        <v>2277</v>
      </c>
      <c r="B796" t="s">
        <v>1910</v>
      </c>
      <c r="C796" t="s">
        <v>1912</v>
      </c>
      <c r="D796">
        <v>6</v>
      </c>
      <c r="E796" t="s">
        <v>1447</v>
      </c>
      <c r="F796" t="s">
        <v>1914</v>
      </c>
      <c r="G796" t="s">
        <v>1748</v>
      </c>
      <c r="H796" t="s">
        <v>2279</v>
      </c>
      <c r="I796">
        <v>1</v>
      </c>
      <c r="J796" t="s">
        <v>2279</v>
      </c>
      <c r="K796" t="s">
        <v>2279</v>
      </c>
      <c r="L796" t="s">
        <v>2279</v>
      </c>
      <c r="M796" t="s">
        <v>2279</v>
      </c>
      <c r="N796" t="s">
        <v>2279</v>
      </c>
      <c r="O796" s="190" t="str">
        <f>"["&amp;$C796&amp;"]["&amp;$D796&amp;"]["&amp;$F796&amp;"]"</f>
        <v>[S05_BiomassInstallations][6][NumberUsingBiomass]</v>
      </c>
    </row>
    <row r="797" spans="1:15" x14ac:dyDescent="0.3">
      <c r="A797" t="s">
        <v>2277</v>
      </c>
      <c r="B797" t="s">
        <v>1910</v>
      </c>
      <c r="C797" t="s">
        <v>1912</v>
      </c>
      <c r="D797">
        <v>7</v>
      </c>
      <c r="E797" t="s">
        <v>1447</v>
      </c>
      <c r="F797" t="s">
        <v>1914</v>
      </c>
      <c r="G797" t="s">
        <v>1748</v>
      </c>
      <c r="H797" t="s">
        <v>2279</v>
      </c>
      <c r="I797">
        <v>3</v>
      </c>
      <c r="J797" t="s">
        <v>2279</v>
      </c>
      <c r="K797" t="s">
        <v>2279</v>
      </c>
      <c r="L797" t="s">
        <v>2279</v>
      </c>
      <c r="M797" t="s">
        <v>2279</v>
      </c>
      <c r="N797" t="s">
        <v>2279</v>
      </c>
      <c r="O797" s="190" t="str">
        <f>"["&amp;$C797&amp;"]["&amp;$D797&amp;"]["&amp;$F797&amp;"]"</f>
        <v>[S05_BiomassInstallations][7][NumberUsingBiomass]</v>
      </c>
    </row>
    <row r="798" spans="1:15" x14ac:dyDescent="0.3">
      <c r="A798" t="s">
        <v>2277</v>
      </c>
      <c r="B798" t="s">
        <v>1910</v>
      </c>
      <c r="C798" t="s">
        <v>1912</v>
      </c>
      <c r="D798">
        <v>8</v>
      </c>
      <c r="E798" t="s">
        <v>1447</v>
      </c>
      <c r="F798" t="s">
        <v>1914</v>
      </c>
      <c r="G798" t="s">
        <v>1748</v>
      </c>
      <c r="H798" t="s">
        <v>2279</v>
      </c>
      <c r="I798">
        <v>2</v>
      </c>
      <c r="J798" t="s">
        <v>2279</v>
      </c>
      <c r="K798" t="s">
        <v>2279</v>
      </c>
      <c r="L798" t="s">
        <v>2279</v>
      </c>
      <c r="M798" t="s">
        <v>2279</v>
      </c>
      <c r="N798" t="s">
        <v>2279</v>
      </c>
      <c r="O798" s="190" t="str">
        <f>"["&amp;$C798&amp;"]["&amp;$D798&amp;"]["&amp;$F798&amp;"]"</f>
        <v>[S05_BiomassInstallations][8][NumberUsingBiomass]</v>
      </c>
    </row>
    <row r="799" spans="1:15" x14ac:dyDescent="0.3">
      <c r="A799" t="s">
        <v>2277</v>
      </c>
      <c r="B799" t="s">
        <v>1910</v>
      </c>
      <c r="C799" t="s">
        <v>1912</v>
      </c>
      <c r="D799">
        <v>9</v>
      </c>
      <c r="E799" t="s">
        <v>1447</v>
      </c>
      <c r="F799" t="s">
        <v>1914</v>
      </c>
      <c r="G799" t="s">
        <v>1748</v>
      </c>
      <c r="H799" t="s">
        <v>2279</v>
      </c>
      <c r="I799">
        <v>1</v>
      </c>
      <c r="J799" t="s">
        <v>2279</v>
      </c>
      <c r="K799" t="s">
        <v>2279</v>
      </c>
      <c r="L799" t="s">
        <v>2279</v>
      </c>
      <c r="M799" t="s">
        <v>2279</v>
      </c>
      <c r="N799" t="s">
        <v>2279</v>
      </c>
      <c r="O799" s="190" t="str">
        <f>"["&amp;$C799&amp;"]["&amp;$D799&amp;"]["&amp;$F799&amp;"]"</f>
        <v>[S05_BiomassInstallations][9][NumberUsingBiomass]</v>
      </c>
    </row>
    <row r="800" spans="1:15" x14ac:dyDescent="0.3">
      <c r="A800" t="s">
        <v>2277</v>
      </c>
      <c r="B800" t="s">
        <v>1910</v>
      </c>
      <c r="C800" t="s">
        <v>1912</v>
      </c>
      <c r="D800">
        <v>10</v>
      </c>
      <c r="E800" t="s">
        <v>1447</v>
      </c>
      <c r="F800" t="s">
        <v>1914</v>
      </c>
      <c r="G800" t="s">
        <v>1748</v>
      </c>
      <c r="H800" t="s">
        <v>2279</v>
      </c>
      <c r="I800">
        <v>1</v>
      </c>
      <c r="J800" t="s">
        <v>2279</v>
      </c>
      <c r="K800" t="s">
        <v>2279</v>
      </c>
      <c r="L800" t="s">
        <v>2279</v>
      </c>
      <c r="M800" t="s">
        <v>2279</v>
      </c>
      <c r="N800" t="s">
        <v>2279</v>
      </c>
      <c r="O800" s="190" t="str">
        <f>"["&amp;$C800&amp;"]["&amp;$D800&amp;"]["&amp;$F800&amp;"]"</f>
        <v>[S05_BiomassInstallations][10][NumberUsingBiomass]</v>
      </c>
    </row>
    <row r="801" spans="1:15" x14ac:dyDescent="0.3">
      <c r="A801" t="s">
        <v>2277</v>
      </c>
      <c r="B801" t="s">
        <v>1910</v>
      </c>
      <c r="C801" t="s">
        <v>1912</v>
      </c>
      <c r="D801">
        <v>11</v>
      </c>
      <c r="E801" t="s">
        <v>1447</v>
      </c>
      <c r="F801" t="s">
        <v>1914</v>
      </c>
      <c r="G801" t="s">
        <v>1748</v>
      </c>
      <c r="H801" t="s">
        <v>2279</v>
      </c>
      <c r="I801">
        <v>1</v>
      </c>
      <c r="J801" t="s">
        <v>2279</v>
      </c>
      <c r="K801" t="s">
        <v>2279</v>
      </c>
      <c r="L801" t="s">
        <v>2279</v>
      </c>
      <c r="M801" t="s">
        <v>2279</v>
      </c>
      <c r="N801" t="s">
        <v>2279</v>
      </c>
      <c r="O801" s="190" t="str">
        <f>"["&amp;$C801&amp;"]["&amp;$D801&amp;"]["&amp;$F801&amp;"]"</f>
        <v>[S05_BiomassInstallations][11][NumberUsingBiomass]</v>
      </c>
    </row>
    <row r="802" spans="1:15" x14ac:dyDescent="0.3">
      <c r="A802" t="s">
        <v>2277</v>
      </c>
      <c r="B802" t="s">
        <v>1910</v>
      </c>
      <c r="C802" t="s">
        <v>1912</v>
      </c>
      <c r="D802">
        <v>12</v>
      </c>
      <c r="E802" t="s">
        <v>1447</v>
      </c>
      <c r="F802" t="s">
        <v>1914</v>
      </c>
      <c r="G802" t="s">
        <v>1748</v>
      </c>
      <c r="H802" t="s">
        <v>2279</v>
      </c>
      <c r="I802">
        <v>1</v>
      </c>
      <c r="J802" t="s">
        <v>2279</v>
      </c>
      <c r="K802" t="s">
        <v>2279</v>
      </c>
      <c r="L802" t="s">
        <v>2279</v>
      </c>
      <c r="M802" t="s">
        <v>2279</v>
      </c>
      <c r="N802" t="s">
        <v>2279</v>
      </c>
      <c r="O802" s="190" t="str">
        <f>"["&amp;$C802&amp;"]["&amp;$D802&amp;"]["&amp;$F802&amp;"]"</f>
        <v>[S05_BiomassInstallations][12][NumberUsingBiomass]</v>
      </c>
    </row>
    <row r="803" spans="1:15" x14ac:dyDescent="0.3">
      <c r="A803" t="s">
        <v>2277</v>
      </c>
      <c r="B803" t="s">
        <v>1910</v>
      </c>
      <c r="C803" t="s">
        <v>1912</v>
      </c>
      <c r="D803">
        <v>1</v>
      </c>
      <c r="E803" t="s">
        <v>1447</v>
      </c>
      <c r="F803" t="s">
        <v>1915</v>
      </c>
      <c r="G803" t="s">
        <v>1806</v>
      </c>
      <c r="H803" t="s">
        <v>2279</v>
      </c>
      <c r="I803" t="s">
        <v>2279</v>
      </c>
      <c r="J803">
        <v>197027.931716602</v>
      </c>
      <c r="K803" t="s">
        <v>2279</v>
      </c>
      <c r="L803" t="s">
        <v>2279</v>
      </c>
      <c r="M803" t="s">
        <v>2279</v>
      </c>
      <c r="N803" t="s">
        <v>2279</v>
      </c>
      <c r="O803" s="190" t="str">
        <f>"["&amp;$C803&amp;"]["&amp;$D803&amp;"]["&amp;$F803&amp;"]"</f>
        <v>[S05_BiomassInstallations][1][EmissionsBiomassSustainabilitySatisfied]</v>
      </c>
    </row>
    <row r="804" spans="1:15" x14ac:dyDescent="0.3">
      <c r="A804" t="s">
        <v>2277</v>
      </c>
      <c r="B804" t="s">
        <v>1910</v>
      </c>
      <c r="C804" t="s">
        <v>1912</v>
      </c>
      <c r="D804">
        <v>2</v>
      </c>
      <c r="E804" t="s">
        <v>1447</v>
      </c>
      <c r="F804" t="s">
        <v>1915</v>
      </c>
      <c r="G804" t="s">
        <v>1806</v>
      </c>
      <c r="H804" t="s">
        <v>2279</v>
      </c>
      <c r="I804" t="s">
        <v>2279</v>
      </c>
      <c r="J804">
        <v>193458.49877979801</v>
      </c>
      <c r="K804" t="s">
        <v>2279</v>
      </c>
      <c r="L804" t="s">
        <v>2279</v>
      </c>
      <c r="M804" t="s">
        <v>2279</v>
      </c>
      <c r="N804" t="s">
        <v>2279</v>
      </c>
      <c r="O804" s="190" t="str">
        <f>"["&amp;$C804&amp;"]["&amp;$D804&amp;"]["&amp;$F804&amp;"]"</f>
        <v>[S05_BiomassInstallations][2][EmissionsBiomassSustainabilitySatisfied]</v>
      </c>
    </row>
    <row r="805" spans="1:15" x14ac:dyDescent="0.3">
      <c r="A805" t="s">
        <v>2277</v>
      </c>
      <c r="B805" t="s">
        <v>1910</v>
      </c>
      <c r="C805" t="s">
        <v>1912</v>
      </c>
      <c r="D805">
        <v>3</v>
      </c>
      <c r="E805" t="s">
        <v>1447</v>
      </c>
      <c r="F805" t="s">
        <v>1915</v>
      </c>
      <c r="G805" t="s">
        <v>1806</v>
      </c>
      <c r="H805" t="s">
        <v>2279</v>
      </c>
      <c r="I805" t="s">
        <v>2279</v>
      </c>
      <c r="J805">
        <v>1029691.18394416</v>
      </c>
      <c r="K805" t="s">
        <v>2279</v>
      </c>
      <c r="L805" t="s">
        <v>2279</v>
      </c>
      <c r="M805" t="s">
        <v>2279</v>
      </c>
      <c r="N805" t="s">
        <v>2279</v>
      </c>
      <c r="O805" s="190" t="str">
        <f>"["&amp;$C805&amp;"]["&amp;$D805&amp;"]["&amp;$F805&amp;"]"</f>
        <v>[S05_BiomassInstallations][3][EmissionsBiomassSustainabilitySatisfied]</v>
      </c>
    </row>
    <row r="806" spans="1:15" x14ac:dyDescent="0.3">
      <c r="A806" t="s">
        <v>2277</v>
      </c>
      <c r="B806" t="s">
        <v>1910</v>
      </c>
      <c r="C806" t="s">
        <v>1912</v>
      </c>
      <c r="D806">
        <v>4</v>
      </c>
      <c r="E806" t="s">
        <v>1447</v>
      </c>
      <c r="F806" t="s">
        <v>1915</v>
      </c>
      <c r="G806" t="s">
        <v>1806</v>
      </c>
      <c r="H806" t="s">
        <v>2279</v>
      </c>
      <c r="I806" t="s">
        <v>2279</v>
      </c>
      <c r="J806">
        <v>1290680.2418138499</v>
      </c>
      <c r="K806" t="s">
        <v>2279</v>
      </c>
      <c r="L806" t="s">
        <v>2279</v>
      </c>
      <c r="M806" t="s">
        <v>2279</v>
      </c>
      <c r="N806" t="s">
        <v>2279</v>
      </c>
      <c r="O806" s="190" t="str">
        <f>"["&amp;$C806&amp;"]["&amp;$D806&amp;"]["&amp;$F806&amp;"]"</f>
        <v>[S05_BiomassInstallations][4][EmissionsBiomassSustainabilitySatisfied]</v>
      </c>
    </row>
    <row r="807" spans="1:15" x14ac:dyDescent="0.3">
      <c r="A807" t="s">
        <v>2277</v>
      </c>
      <c r="B807" t="s">
        <v>1910</v>
      </c>
      <c r="C807" t="s">
        <v>1912</v>
      </c>
      <c r="D807">
        <v>5</v>
      </c>
      <c r="E807" t="s">
        <v>1447</v>
      </c>
      <c r="F807" t="s">
        <v>1915</v>
      </c>
      <c r="G807" t="s">
        <v>1806</v>
      </c>
      <c r="H807" t="s">
        <v>2279</v>
      </c>
      <c r="I807" t="s">
        <v>2279</v>
      </c>
      <c r="J807">
        <v>1504520.82522295</v>
      </c>
      <c r="K807" t="s">
        <v>2279</v>
      </c>
      <c r="L807" t="s">
        <v>2279</v>
      </c>
      <c r="M807" t="s">
        <v>2279</v>
      </c>
      <c r="N807" t="s">
        <v>2279</v>
      </c>
      <c r="O807" s="190" t="str">
        <f>"["&amp;$C807&amp;"]["&amp;$D807&amp;"]["&amp;$F807&amp;"]"</f>
        <v>[S05_BiomassInstallations][5][EmissionsBiomassSustainabilitySatisfied]</v>
      </c>
    </row>
    <row r="808" spans="1:15" x14ac:dyDescent="0.3">
      <c r="A808" t="s">
        <v>2277</v>
      </c>
      <c r="B808" t="s">
        <v>1910</v>
      </c>
      <c r="C808" t="s">
        <v>1912</v>
      </c>
      <c r="D808">
        <v>6</v>
      </c>
      <c r="E808" t="s">
        <v>1447</v>
      </c>
      <c r="F808" t="s">
        <v>1915</v>
      </c>
      <c r="G808" t="s">
        <v>1806</v>
      </c>
      <c r="H808" t="s">
        <v>2279</v>
      </c>
      <c r="I808" t="s">
        <v>2279</v>
      </c>
      <c r="J808">
        <v>1815732.0132364</v>
      </c>
      <c r="K808" t="s">
        <v>2279</v>
      </c>
      <c r="L808" t="s">
        <v>2279</v>
      </c>
      <c r="M808" t="s">
        <v>2279</v>
      </c>
      <c r="N808" t="s">
        <v>2279</v>
      </c>
      <c r="O808" s="190" t="str">
        <f>"["&amp;$C808&amp;"]["&amp;$D808&amp;"]["&amp;$F808&amp;"]"</f>
        <v>[S05_BiomassInstallations][6][EmissionsBiomassSustainabilitySatisfied]</v>
      </c>
    </row>
    <row r="809" spans="1:15" x14ac:dyDescent="0.3">
      <c r="A809" t="s">
        <v>2277</v>
      </c>
      <c r="B809" t="s">
        <v>1910</v>
      </c>
      <c r="C809" t="s">
        <v>1912</v>
      </c>
      <c r="D809">
        <v>7</v>
      </c>
      <c r="E809" t="s">
        <v>1447</v>
      </c>
      <c r="F809" t="s">
        <v>1915</v>
      </c>
      <c r="G809" t="s">
        <v>1806</v>
      </c>
      <c r="H809" t="s">
        <v>2279</v>
      </c>
      <c r="I809" t="s">
        <v>2279</v>
      </c>
      <c r="J809">
        <v>248807.58432848501</v>
      </c>
      <c r="K809" t="s">
        <v>2279</v>
      </c>
      <c r="L809" t="s">
        <v>2279</v>
      </c>
      <c r="M809" t="s">
        <v>2279</v>
      </c>
      <c r="N809" t="s">
        <v>2279</v>
      </c>
      <c r="O809" s="190" t="str">
        <f>"["&amp;$C809&amp;"]["&amp;$D809&amp;"]["&amp;$F809&amp;"]"</f>
        <v>[S05_BiomassInstallations][7][EmissionsBiomassSustainabilitySatisfied]</v>
      </c>
    </row>
    <row r="810" spans="1:15" x14ac:dyDescent="0.3">
      <c r="A810" t="s">
        <v>2277</v>
      </c>
      <c r="B810" t="s">
        <v>1910</v>
      </c>
      <c r="C810" t="s">
        <v>1912</v>
      </c>
      <c r="D810">
        <v>8</v>
      </c>
      <c r="E810" t="s">
        <v>1447</v>
      </c>
      <c r="F810" t="s">
        <v>1915</v>
      </c>
      <c r="G810" t="s">
        <v>1806</v>
      </c>
      <c r="H810" t="s">
        <v>2279</v>
      </c>
      <c r="I810" t="s">
        <v>2279</v>
      </c>
      <c r="J810">
        <v>140793.99913564499</v>
      </c>
      <c r="K810" t="s">
        <v>2279</v>
      </c>
      <c r="L810" t="s">
        <v>2279</v>
      </c>
      <c r="M810" t="s">
        <v>2279</v>
      </c>
      <c r="N810" t="s">
        <v>2279</v>
      </c>
      <c r="O810" s="190" t="str">
        <f>"["&amp;$C810&amp;"]["&amp;$D810&amp;"]["&amp;$F810&amp;"]"</f>
        <v>[S05_BiomassInstallations][8][EmissionsBiomassSustainabilitySatisfied]</v>
      </c>
    </row>
    <row r="811" spans="1:15" x14ac:dyDescent="0.3">
      <c r="A811" t="s">
        <v>2277</v>
      </c>
      <c r="B811" t="s">
        <v>1910</v>
      </c>
      <c r="C811" t="s">
        <v>1912</v>
      </c>
      <c r="D811">
        <v>9</v>
      </c>
      <c r="E811" t="s">
        <v>1447</v>
      </c>
      <c r="F811" t="s">
        <v>1915</v>
      </c>
      <c r="G811" t="s">
        <v>1806</v>
      </c>
      <c r="H811" t="s">
        <v>2279</v>
      </c>
      <c r="I811" t="s">
        <v>2279</v>
      </c>
      <c r="J811">
        <v>4339.42150313821</v>
      </c>
      <c r="K811" t="s">
        <v>2279</v>
      </c>
      <c r="L811" t="s">
        <v>2279</v>
      </c>
      <c r="M811" t="s">
        <v>2279</v>
      </c>
      <c r="N811" t="s">
        <v>2279</v>
      </c>
      <c r="O811" s="190" t="str">
        <f>"["&amp;$C811&amp;"]["&amp;$D811&amp;"]["&amp;$F811&amp;"]"</f>
        <v>[S05_BiomassInstallations][9][EmissionsBiomassSustainabilitySatisfied]</v>
      </c>
    </row>
    <row r="812" spans="1:15" x14ac:dyDescent="0.3">
      <c r="A812" t="s">
        <v>2277</v>
      </c>
      <c r="B812" t="s">
        <v>1910</v>
      </c>
      <c r="C812" t="s">
        <v>1912</v>
      </c>
      <c r="D812">
        <v>10</v>
      </c>
      <c r="E812" t="s">
        <v>1447</v>
      </c>
      <c r="F812" t="s">
        <v>1915</v>
      </c>
      <c r="G812" t="s">
        <v>1806</v>
      </c>
      <c r="H812" t="s">
        <v>2279</v>
      </c>
      <c r="I812" t="s">
        <v>2279</v>
      </c>
      <c r="J812">
        <v>2399.2412371199998</v>
      </c>
      <c r="K812" t="s">
        <v>2279</v>
      </c>
      <c r="L812" t="s">
        <v>2279</v>
      </c>
      <c r="M812" t="s">
        <v>2279</v>
      </c>
      <c r="N812" t="s">
        <v>2279</v>
      </c>
      <c r="O812" s="190" t="str">
        <f>"["&amp;$C812&amp;"]["&amp;$D812&amp;"]["&amp;$F812&amp;"]"</f>
        <v>[S05_BiomassInstallations][10][EmissionsBiomassSustainabilitySatisfied]</v>
      </c>
    </row>
    <row r="813" spans="1:15" x14ac:dyDescent="0.3">
      <c r="A813" t="s">
        <v>2277</v>
      </c>
      <c r="B813" t="s">
        <v>1910</v>
      </c>
      <c r="C813" t="s">
        <v>1912</v>
      </c>
      <c r="D813">
        <v>11</v>
      </c>
      <c r="E813" t="s">
        <v>1447</v>
      </c>
      <c r="F813" t="s">
        <v>1915</v>
      </c>
      <c r="G813" t="s">
        <v>1806</v>
      </c>
      <c r="H813" t="s">
        <v>2279</v>
      </c>
      <c r="I813" t="s">
        <v>2279</v>
      </c>
      <c r="J813">
        <v>5298.0018</v>
      </c>
      <c r="K813" t="s">
        <v>2279</v>
      </c>
      <c r="L813" t="s">
        <v>2279</v>
      </c>
      <c r="M813" t="s">
        <v>2279</v>
      </c>
      <c r="N813" t="s">
        <v>2279</v>
      </c>
      <c r="O813" s="190" t="str">
        <f>"["&amp;$C813&amp;"]["&amp;$D813&amp;"]["&amp;$F813&amp;"]"</f>
        <v>[S05_BiomassInstallations][11][EmissionsBiomassSustainabilitySatisfied]</v>
      </c>
    </row>
    <row r="814" spans="1:15" x14ac:dyDescent="0.3">
      <c r="A814" t="s">
        <v>2277</v>
      </c>
      <c r="B814" t="s">
        <v>1910</v>
      </c>
      <c r="C814" t="s">
        <v>1912</v>
      </c>
      <c r="D814">
        <v>12</v>
      </c>
      <c r="E814" t="s">
        <v>1447</v>
      </c>
      <c r="F814" t="s">
        <v>1915</v>
      </c>
      <c r="G814" t="s">
        <v>1806</v>
      </c>
      <c r="H814" t="s">
        <v>2279</v>
      </c>
      <c r="I814" t="s">
        <v>2279</v>
      </c>
      <c r="J814">
        <v>122.96</v>
      </c>
      <c r="K814" t="s">
        <v>2279</v>
      </c>
      <c r="L814" t="s">
        <v>2279</v>
      </c>
      <c r="M814" t="s">
        <v>2279</v>
      </c>
      <c r="N814" t="s">
        <v>2279</v>
      </c>
      <c r="O814" s="190" t="str">
        <f>"["&amp;$C814&amp;"]["&amp;$D814&amp;"]["&amp;$F814&amp;"]"</f>
        <v>[S05_BiomassInstallations][12][EmissionsBiomassSustainabilitySatisfied]</v>
      </c>
    </row>
    <row r="815" spans="1:15" x14ac:dyDescent="0.3">
      <c r="A815" t="s">
        <v>2277</v>
      </c>
      <c r="B815" t="s">
        <v>1910</v>
      </c>
      <c r="C815" t="s">
        <v>1912</v>
      </c>
      <c r="D815">
        <v>1</v>
      </c>
      <c r="E815" t="s">
        <v>1447</v>
      </c>
      <c r="F815" t="s">
        <v>1916</v>
      </c>
      <c r="G815" t="s">
        <v>1806</v>
      </c>
      <c r="H815" t="s">
        <v>2279</v>
      </c>
      <c r="I815" t="s">
        <v>2279</v>
      </c>
      <c r="J815">
        <v>0</v>
      </c>
      <c r="K815" t="s">
        <v>2279</v>
      </c>
      <c r="L815" t="s">
        <v>2279</v>
      </c>
      <c r="M815" t="s">
        <v>2279</v>
      </c>
      <c r="N815" t="s">
        <v>2279</v>
      </c>
      <c r="O815" s="190" t="str">
        <f>"["&amp;$C815&amp;"]["&amp;$D815&amp;"]["&amp;$F815&amp;"]"</f>
        <v>[S05_BiomassInstallations][1][EmissionsBiomassSustainabilityNotSatisfied]</v>
      </c>
    </row>
    <row r="816" spans="1:15" x14ac:dyDescent="0.3">
      <c r="A816" t="s">
        <v>2277</v>
      </c>
      <c r="B816" t="s">
        <v>1910</v>
      </c>
      <c r="C816" t="s">
        <v>1912</v>
      </c>
      <c r="D816">
        <v>2</v>
      </c>
      <c r="E816" t="s">
        <v>1447</v>
      </c>
      <c r="F816" t="s">
        <v>1916</v>
      </c>
      <c r="G816" t="s">
        <v>1806</v>
      </c>
      <c r="H816" t="s">
        <v>2279</v>
      </c>
      <c r="I816" t="s">
        <v>2279</v>
      </c>
      <c r="J816">
        <v>0</v>
      </c>
      <c r="K816" t="s">
        <v>2279</v>
      </c>
      <c r="L816" t="s">
        <v>2279</v>
      </c>
      <c r="M816" t="s">
        <v>2279</v>
      </c>
      <c r="N816" t="s">
        <v>2279</v>
      </c>
      <c r="O816" s="190" t="str">
        <f>"["&amp;$C816&amp;"]["&amp;$D816&amp;"]["&amp;$F816&amp;"]"</f>
        <v>[S05_BiomassInstallations][2][EmissionsBiomassSustainabilityNotSatisfied]</v>
      </c>
    </row>
    <row r="817" spans="1:15" x14ac:dyDescent="0.3">
      <c r="A817" t="s">
        <v>2277</v>
      </c>
      <c r="B817" t="s">
        <v>1910</v>
      </c>
      <c r="C817" t="s">
        <v>1912</v>
      </c>
      <c r="D817">
        <v>3</v>
      </c>
      <c r="E817" t="s">
        <v>1447</v>
      </c>
      <c r="F817" t="s">
        <v>1916</v>
      </c>
      <c r="G817" t="s">
        <v>1806</v>
      </c>
      <c r="H817" t="s">
        <v>2279</v>
      </c>
      <c r="I817" t="s">
        <v>2279</v>
      </c>
      <c r="J817">
        <v>0</v>
      </c>
      <c r="K817" t="s">
        <v>2279</v>
      </c>
      <c r="L817" t="s">
        <v>2279</v>
      </c>
      <c r="M817" t="s">
        <v>2279</v>
      </c>
      <c r="N817" t="s">
        <v>2279</v>
      </c>
      <c r="O817" s="190" t="str">
        <f>"["&amp;$C817&amp;"]["&amp;$D817&amp;"]["&amp;$F817&amp;"]"</f>
        <v>[S05_BiomassInstallations][3][EmissionsBiomassSustainabilityNotSatisfied]</v>
      </c>
    </row>
    <row r="818" spans="1:15" x14ac:dyDescent="0.3">
      <c r="A818" t="s">
        <v>2277</v>
      </c>
      <c r="B818" t="s">
        <v>1910</v>
      </c>
      <c r="C818" t="s">
        <v>1912</v>
      </c>
      <c r="D818">
        <v>4</v>
      </c>
      <c r="E818" t="s">
        <v>1447</v>
      </c>
      <c r="F818" t="s">
        <v>1916</v>
      </c>
      <c r="G818" t="s">
        <v>1806</v>
      </c>
      <c r="H818" t="s">
        <v>2279</v>
      </c>
      <c r="I818" t="s">
        <v>2279</v>
      </c>
      <c r="J818">
        <v>0</v>
      </c>
      <c r="K818" t="s">
        <v>2279</v>
      </c>
      <c r="L818" t="s">
        <v>2279</v>
      </c>
      <c r="M818" t="s">
        <v>2279</v>
      </c>
      <c r="N818" t="s">
        <v>2279</v>
      </c>
      <c r="O818" s="190" t="str">
        <f>"["&amp;$C818&amp;"]["&amp;$D818&amp;"]["&amp;$F818&amp;"]"</f>
        <v>[S05_BiomassInstallations][4][EmissionsBiomassSustainabilityNotSatisfied]</v>
      </c>
    </row>
    <row r="819" spans="1:15" x14ac:dyDescent="0.3">
      <c r="A819" t="s">
        <v>2277</v>
      </c>
      <c r="B819" t="s">
        <v>1910</v>
      </c>
      <c r="C819" t="s">
        <v>1912</v>
      </c>
      <c r="D819">
        <v>5</v>
      </c>
      <c r="E819" t="s">
        <v>1447</v>
      </c>
      <c r="F819" t="s">
        <v>1916</v>
      </c>
      <c r="G819" t="s">
        <v>1806</v>
      </c>
      <c r="H819" t="s">
        <v>2279</v>
      </c>
      <c r="I819" t="s">
        <v>2279</v>
      </c>
      <c r="J819">
        <v>0</v>
      </c>
      <c r="K819" t="s">
        <v>2279</v>
      </c>
      <c r="L819" t="s">
        <v>2279</v>
      </c>
      <c r="M819" t="s">
        <v>2279</v>
      </c>
      <c r="N819" t="s">
        <v>2279</v>
      </c>
      <c r="O819" s="190" t="str">
        <f>"["&amp;$C819&amp;"]["&amp;$D819&amp;"]["&amp;$F819&amp;"]"</f>
        <v>[S05_BiomassInstallations][5][EmissionsBiomassSustainabilityNotSatisfied]</v>
      </c>
    </row>
    <row r="820" spans="1:15" x14ac:dyDescent="0.3">
      <c r="A820" t="s">
        <v>2277</v>
      </c>
      <c r="B820" t="s">
        <v>1910</v>
      </c>
      <c r="C820" t="s">
        <v>1912</v>
      </c>
      <c r="D820">
        <v>6</v>
      </c>
      <c r="E820" t="s">
        <v>1447</v>
      </c>
      <c r="F820" t="s">
        <v>1916</v>
      </c>
      <c r="G820" t="s">
        <v>1806</v>
      </c>
      <c r="H820" t="s">
        <v>2279</v>
      </c>
      <c r="I820" t="s">
        <v>2279</v>
      </c>
      <c r="J820">
        <v>0</v>
      </c>
      <c r="K820" t="s">
        <v>2279</v>
      </c>
      <c r="L820" t="s">
        <v>2279</v>
      </c>
      <c r="M820" t="s">
        <v>2279</v>
      </c>
      <c r="N820" t="s">
        <v>2279</v>
      </c>
      <c r="O820" s="190" t="str">
        <f>"["&amp;$C820&amp;"]["&amp;$D820&amp;"]["&amp;$F820&amp;"]"</f>
        <v>[S05_BiomassInstallations][6][EmissionsBiomassSustainabilityNotSatisfied]</v>
      </c>
    </row>
    <row r="821" spans="1:15" x14ac:dyDescent="0.3">
      <c r="A821" t="s">
        <v>2277</v>
      </c>
      <c r="B821" t="s">
        <v>1910</v>
      </c>
      <c r="C821" t="s">
        <v>1912</v>
      </c>
      <c r="D821">
        <v>7</v>
      </c>
      <c r="E821" t="s">
        <v>1447</v>
      </c>
      <c r="F821" t="s">
        <v>1916</v>
      </c>
      <c r="G821" t="s">
        <v>1806</v>
      </c>
      <c r="H821" t="s">
        <v>2279</v>
      </c>
      <c r="I821" t="s">
        <v>2279</v>
      </c>
      <c r="J821">
        <v>0</v>
      </c>
      <c r="K821" t="s">
        <v>2279</v>
      </c>
      <c r="L821" t="s">
        <v>2279</v>
      </c>
      <c r="M821" t="s">
        <v>2279</v>
      </c>
      <c r="N821" t="s">
        <v>2279</v>
      </c>
      <c r="O821" s="190" t="str">
        <f>"["&amp;$C821&amp;"]["&amp;$D821&amp;"]["&amp;$F821&amp;"]"</f>
        <v>[S05_BiomassInstallations][7][EmissionsBiomassSustainabilityNotSatisfied]</v>
      </c>
    </row>
    <row r="822" spans="1:15" x14ac:dyDescent="0.3">
      <c r="A822" t="s">
        <v>2277</v>
      </c>
      <c r="B822" t="s">
        <v>1910</v>
      </c>
      <c r="C822" t="s">
        <v>1912</v>
      </c>
      <c r="D822">
        <v>8</v>
      </c>
      <c r="E822" t="s">
        <v>1447</v>
      </c>
      <c r="F822" t="s">
        <v>1916</v>
      </c>
      <c r="G822" t="s">
        <v>1806</v>
      </c>
      <c r="H822" t="s">
        <v>2279</v>
      </c>
      <c r="I822" t="s">
        <v>2279</v>
      </c>
      <c r="J822">
        <v>0</v>
      </c>
      <c r="K822" t="s">
        <v>2279</v>
      </c>
      <c r="L822" t="s">
        <v>2279</v>
      </c>
      <c r="M822" t="s">
        <v>2279</v>
      </c>
      <c r="N822" t="s">
        <v>2279</v>
      </c>
      <c r="O822" s="190" t="str">
        <f>"["&amp;$C822&amp;"]["&amp;$D822&amp;"]["&amp;$F822&amp;"]"</f>
        <v>[S05_BiomassInstallations][8][EmissionsBiomassSustainabilityNotSatisfied]</v>
      </c>
    </row>
    <row r="823" spans="1:15" x14ac:dyDescent="0.3">
      <c r="A823" t="s">
        <v>2277</v>
      </c>
      <c r="B823" t="s">
        <v>1910</v>
      </c>
      <c r="C823" t="s">
        <v>1912</v>
      </c>
      <c r="D823">
        <v>9</v>
      </c>
      <c r="E823" t="s">
        <v>1447</v>
      </c>
      <c r="F823" t="s">
        <v>1916</v>
      </c>
      <c r="G823" t="s">
        <v>1806</v>
      </c>
      <c r="H823" t="s">
        <v>2279</v>
      </c>
      <c r="I823" t="s">
        <v>2279</v>
      </c>
      <c r="J823">
        <v>0</v>
      </c>
      <c r="K823" t="s">
        <v>2279</v>
      </c>
      <c r="L823" t="s">
        <v>2279</v>
      </c>
      <c r="M823" t="s">
        <v>2279</v>
      </c>
      <c r="N823" t="s">
        <v>2279</v>
      </c>
      <c r="O823" s="190" t="str">
        <f>"["&amp;$C823&amp;"]["&amp;$D823&amp;"]["&amp;$F823&amp;"]"</f>
        <v>[S05_BiomassInstallations][9][EmissionsBiomassSustainabilityNotSatisfied]</v>
      </c>
    </row>
    <row r="824" spans="1:15" x14ac:dyDescent="0.3">
      <c r="A824" t="s">
        <v>2277</v>
      </c>
      <c r="B824" t="s">
        <v>1910</v>
      </c>
      <c r="C824" t="s">
        <v>1912</v>
      </c>
      <c r="D824">
        <v>10</v>
      </c>
      <c r="E824" t="s">
        <v>1447</v>
      </c>
      <c r="F824" t="s">
        <v>1916</v>
      </c>
      <c r="G824" t="s">
        <v>1806</v>
      </c>
      <c r="H824" t="s">
        <v>2279</v>
      </c>
      <c r="I824" t="s">
        <v>2279</v>
      </c>
      <c r="J824">
        <v>0</v>
      </c>
      <c r="K824" t="s">
        <v>2279</v>
      </c>
      <c r="L824" t="s">
        <v>2279</v>
      </c>
      <c r="M824" t="s">
        <v>2279</v>
      </c>
      <c r="N824" t="s">
        <v>2279</v>
      </c>
      <c r="O824" s="190" t="str">
        <f>"["&amp;$C824&amp;"]["&amp;$D824&amp;"]["&amp;$F824&amp;"]"</f>
        <v>[S05_BiomassInstallations][10][EmissionsBiomassSustainabilityNotSatisfied]</v>
      </c>
    </row>
    <row r="825" spans="1:15" x14ac:dyDescent="0.3">
      <c r="A825" t="s">
        <v>2277</v>
      </c>
      <c r="B825" t="s">
        <v>1910</v>
      </c>
      <c r="C825" t="s">
        <v>1912</v>
      </c>
      <c r="D825">
        <v>11</v>
      </c>
      <c r="E825" t="s">
        <v>1447</v>
      </c>
      <c r="F825" t="s">
        <v>1916</v>
      </c>
      <c r="G825" t="s">
        <v>1806</v>
      </c>
      <c r="H825" t="s">
        <v>2279</v>
      </c>
      <c r="I825" t="s">
        <v>2279</v>
      </c>
      <c r="J825">
        <v>0</v>
      </c>
      <c r="K825" t="s">
        <v>2279</v>
      </c>
      <c r="L825" t="s">
        <v>2279</v>
      </c>
      <c r="M825" t="s">
        <v>2279</v>
      </c>
      <c r="N825" t="s">
        <v>2279</v>
      </c>
      <c r="O825" s="190" t="str">
        <f>"["&amp;$C825&amp;"]["&amp;$D825&amp;"]["&amp;$F825&amp;"]"</f>
        <v>[S05_BiomassInstallations][11][EmissionsBiomassSustainabilityNotSatisfied]</v>
      </c>
    </row>
    <row r="826" spans="1:15" x14ac:dyDescent="0.3">
      <c r="A826" t="s">
        <v>2277</v>
      </c>
      <c r="B826" t="s">
        <v>1910</v>
      </c>
      <c r="C826" t="s">
        <v>1912</v>
      </c>
      <c r="D826">
        <v>12</v>
      </c>
      <c r="E826" t="s">
        <v>1447</v>
      </c>
      <c r="F826" t="s">
        <v>1916</v>
      </c>
      <c r="G826" t="s">
        <v>1806</v>
      </c>
      <c r="H826" t="s">
        <v>2279</v>
      </c>
      <c r="I826" t="s">
        <v>2279</v>
      </c>
      <c r="J826">
        <v>0</v>
      </c>
      <c r="K826" t="s">
        <v>2279</v>
      </c>
      <c r="L826" t="s">
        <v>2279</v>
      </c>
      <c r="M826" t="s">
        <v>2279</v>
      </c>
      <c r="N826" t="s">
        <v>2279</v>
      </c>
      <c r="O826" s="190" t="str">
        <f>"["&amp;$C826&amp;"]["&amp;$D826&amp;"]["&amp;$F826&amp;"]"</f>
        <v>[S05_BiomassInstallations][12][EmissionsBiomassSustainabilityNotSatisfied]</v>
      </c>
    </row>
    <row r="827" spans="1:15" x14ac:dyDescent="0.3">
      <c r="A827" t="s">
        <v>2277</v>
      </c>
      <c r="B827" t="s">
        <v>1910</v>
      </c>
      <c r="C827" t="s">
        <v>1912</v>
      </c>
      <c r="D827">
        <v>1</v>
      </c>
      <c r="E827" t="s">
        <v>1447</v>
      </c>
      <c r="F827" t="s">
        <v>1917</v>
      </c>
      <c r="G827" t="s">
        <v>1806</v>
      </c>
      <c r="H827" t="s">
        <v>2279</v>
      </c>
      <c r="I827" t="s">
        <v>2279</v>
      </c>
      <c r="J827">
        <v>179511.83056297901</v>
      </c>
      <c r="K827" t="s">
        <v>2279</v>
      </c>
      <c r="L827" t="s">
        <v>2279</v>
      </c>
      <c r="M827" t="s">
        <v>2279</v>
      </c>
      <c r="N827" t="s">
        <v>2279</v>
      </c>
      <c r="O827" s="190" t="str">
        <f>"["&amp;$C827&amp;"]["&amp;$D827&amp;"]["&amp;$F827&amp;"]"</f>
        <v>[S05_BiomassInstallations][1][EmissionsFossil]</v>
      </c>
    </row>
    <row r="828" spans="1:15" x14ac:dyDescent="0.3">
      <c r="A828" t="s">
        <v>2277</v>
      </c>
      <c r="B828" t="s">
        <v>1910</v>
      </c>
      <c r="C828" t="s">
        <v>1912</v>
      </c>
      <c r="D828">
        <v>2</v>
      </c>
      <c r="E828" t="s">
        <v>1447</v>
      </c>
      <c r="F828" t="s">
        <v>1917</v>
      </c>
      <c r="G828" t="s">
        <v>1806</v>
      </c>
      <c r="H828" t="s">
        <v>2279</v>
      </c>
      <c r="I828" t="s">
        <v>2279</v>
      </c>
      <c r="J828">
        <v>6882148.6911980202</v>
      </c>
      <c r="K828" t="s">
        <v>2279</v>
      </c>
      <c r="L828" t="s">
        <v>2279</v>
      </c>
      <c r="M828" t="s">
        <v>2279</v>
      </c>
      <c r="N828" t="s">
        <v>2279</v>
      </c>
      <c r="O828" s="190" t="str">
        <f>"["&amp;$C828&amp;"]["&amp;$D828&amp;"]["&amp;$F828&amp;"]"</f>
        <v>[S05_BiomassInstallations][2][EmissionsFossil]</v>
      </c>
    </row>
    <row r="829" spans="1:15" x14ac:dyDescent="0.3">
      <c r="A829" t="s">
        <v>2277</v>
      </c>
      <c r="B829" t="s">
        <v>1910</v>
      </c>
      <c r="C829" t="s">
        <v>1912</v>
      </c>
      <c r="D829">
        <v>3</v>
      </c>
      <c r="E829" t="s">
        <v>1447</v>
      </c>
      <c r="F829" t="s">
        <v>1917</v>
      </c>
      <c r="G829" t="s">
        <v>1806</v>
      </c>
      <c r="H829" t="s">
        <v>2279</v>
      </c>
      <c r="I829" t="s">
        <v>2279</v>
      </c>
      <c r="J829">
        <v>3252621.1969202198</v>
      </c>
      <c r="K829" t="s">
        <v>2279</v>
      </c>
      <c r="L829" t="s">
        <v>2279</v>
      </c>
      <c r="M829" t="s">
        <v>2279</v>
      </c>
      <c r="N829" t="s">
        <v>2279</v>
      </c>
      <c r="O829" s="190" t="str">
        <f>"["&amp;$C829&amp;"]["&amp;$D829&amp;"]["&amp;$F829&amp;"]"</f>
        <v>[S05_BiomassInstallations][3][EmissionsFossil]</v>
      </c>
    </row>
    <row r="830" spans="1:15" x14ac:dyDescent="0.3">
      <c r="A830" t="s">
        <v>2277</v>
      </c>
      <c r="B830" t="s">
        <v>1910</v>
      </c>
      <c r="C830" t="s">
        <v>1912</v>
      </c>
      <c r="D830">
        <v>4</v>
      </c>
      <c r="E830" t="s">
        <v>1447</v>
      </c>
      <c r="F830" t="s">
        <v>1917</v>
      </c>
      <c r="G830" t="s">
        <v>1806</v>
      </c>
      <c r="H830" t="s">
        <v>2279</v>
      </c>
      <c r="I830" t="s">
        <v>2279</v>
      </c>
      <c r="J830">
        <v>304891.37575095298</v>
      </c>
      <c r="K830" t="s">
        <v>2279</v>
      </c>
      <c r="L830" t="s">
        <v>2279</v>
      </c>
      <c r="M830" t="s">
        <v>2279</v>
      </c>
      <c r="N830" t="s">
        <v>2279</v>
      </c>
      <c r="O830" s="190" t="str">
        <f>"["&amp;$C830&amp;"]["&amp;$D830&amp;"]["&amp;$F830&amp;"]"</f>
        <v>[S05_BiomassInstallations][4][EmissionsFossil]</v>
      </c>
    </row>
    <row r="831" spans="1:15" x14ac:dyDescent="0.3">
      <c r="A831" t="s">
        <v>2277</v>
      </c>
      <c r="B831" t="s">
        <v>1910</v>
      </c>
      <c r="C831" t="s">
        <v>1912</v>
      </c>
      <c r="D831">
        <v>5</v>
      </c>
      <c r="E831" t="s">
        <v>1447</v>
      </c>
      <c r="F831" t="s">
        <v>1917</v>
      </c>
      <c r="G831" t="s">
        <v>1806</v>
      </c>
      <c r="H831" t="s">
        <v>2279</v>
      </c>
      <c r="I831" t="s">
        <v>2279</v>
      </c>
      <c r="J831">
        <v>375523.20747931203</v>
      </c>
      <c r="K831" t="s">
        <v>2279</v>
      </c>
      <c r="L831" t="s">
        <v>2279</v>
      </c>
      <c r="M831" t="s">
        <v>2279</v>
      </c>
      <c r="N831" t="s">
        <v>2279</v>
      </c>
      <c r="O831" s="190" t="str">
        <f>"["&amp;$C831&amp;"]["&amp;$D831&amp;"]["&amp;$F831&amp;"]"</f>
        <v>[S05_BiomassInstallations][5][EmissionsFossil]</v>
      </c>
    </row>
    <row r="832" spans="1:15" x14ac:dyDescent="0.3">
      <c r="A832" t="s">
        <v>2277</v>
      </c>
      <c r="B832" t="s">
        <v>1910</v>
      </c>
      <c r="C832" t="s">
        <v>1912</v>
      </c>
      <c r="D832">
        <v>6</v>
      </c>
      <c r="E832" t="s">
        <v>1447</v>
      </c>
      <c r="F832" t="s">
        <v>1917</v>
      </c>
      <c r="G832" t="s">
        <v>1806</v>
      </c>
      <c r="H832" t="s">
        <v>2279</v>
      </c>
      <c r="I832" t="s">
        <v>2279</v>
      </c>
      <c r="J832">
        <v>6290.253470697</v>
      </c>
      <c r="K832" t="s">
        <v>2279</v>
      </c>
      <c r="L832" t="s">
        <v>2279</v>
      </c>
      <c r="M832" t="s">
        <v>2279</v>
      </c>
      <c r="N832" t="s">
        <v>2279</v>
      </c>
      <c r="O832" s="190" t="str">
        <f>"["&amp;$C832&amp;"]["&amp;$D832&amp;"]["&amp;$F832&amp;"]"</f>
        <v>[S05_BiomassInstallations][6][EmissionsFossil]</v>
      </c>
    </row>
    <row r="833" spans="1:15" x14ac:dyDescent="0.3">
      <c r="A833" t="s">
        <v>2277</v>
      </c>
      <c r="B833" t="s">
        <v>1910</v>
      </c>
      <c r="C833" t="s">
        <v>1912</v>
      </c>
      <c r="D833">
        <v>7</v>
      </c>
      <c r="E833" t="s">
        <v>1447</v>
      </c>
      <c r="F833" t="s">
        <v>1917</v>
      </c>
      <c r="G833" t="s">
        <v>1806</v>
      </c>
      <c r="H833" t="s">
        <v>2279</v>
      </c>
      <c r="I833" t="s">
        <v>2279</v>
      </c>
      <c r="J833">
        <v>1903791.7544492299</v>
      </c>
      <c r="K833" t="s">
        <v>2279</v>
      </c>
      <c r="L833" t="s">
        <v>2279</v>
      </c>
      <c r="M833" t="s">
        <v>2279</v>
      </c>
      <c r="N833" t="s">
        <v>2279</v>
      </c>
      <c r="O833" s="190" t="str">
        <f>"["&amp;$C833&amp;"]["&amp;$D833&amp;"]["&amp;$F833&amp;"]"</f>
        <v>[S05_BiomassInstallations][7][EmissionsFossil]</v>
      </c>
    </row>
    <row r="834" spans="1:15" x14ac:dyDescent="0.3">
      <c r="A834" t="s">
        <v>2277</v>
      </c>
      <c r="B834" t="s">
        <v>1910</v>
      </c>
      <c r="C834" t="s">
        <v>1912</v>
      </c>
      <c r="D834">
        <v>8</v>
      </c>
      <c r="E834" t="s">
        <v>1447</v>
      </c>
      <c r="F834" t="s">
        <v>1917</v>
      </c>
      <c r="G834" t="s">
        <v>1806</v>
      </c>
      <c r="H834" t="s">
        <v>2279</v>
      </c>
      <c r="I834" t="s">
        <v>2279</v>
      </c>
      <c r="J834">
        <v>918366.03149598301</v>
      </c>
      <c r="K834" t="s">
        <v>2279</v>
      </c>
      <c r="L834" t="s">
        <v>2279</v>
      </c>
      <c r="M834" t="s">
        <v>2279</v>
      </c>
      <c r="N834" t="s">
        <v>2279</v>
      </c>
      <c r="O834" s="190" t="str">
        <f>"["&amp;$C834&amp;"]["&amp;$D834&amp;"]["&amp;$F834&amp;"]"</f>
        <v>[S05_BiomassInstallations][8][EmissionsFossil]</v>
      </c>
    </row>
    <row r="835" spans="1:15" x14ac:dyDescent="0.3">
      <c r="A835" t="s">
        <v>2277</v>
      </c>
      <c r="B835" t="s">
        <v>1910</v>
      </c>
      <c r="C835" t="s">
        <v>1912</v>
      </c>
      <c r="D835">
        <v>9</v>
      </c>
      <c r="E835" t="s">
        <v>1447</v>
      </c>
      <c r="F835" t="s">
        <v>1917</v>
      </c>
      <c r="G835" t="s">
        <v>1806</v>
      </c>
      <c r="H835" t="s">
        <v>2279</v>
      </c>
      <c r="I835" t="s">
        <v>2279</v>
      </c>
      <c r="J835">
        <v>79783.275891058205</v>
      </c>
      <c r="K835" t="s">
        <v>2279</v>
      </c>
      <c r="L835" t="s">
        <v>2279</v>
      </c>
      <c r="M835" t="s">
        <v>2279</v>
      </c>
      <c r="N835" t="s">
        <v>2279</v>
      </c>
      <c r="O835" s="190" t="str">
        <f>"["&amp;$C835&amp;"]["&amp;$D835&amp;"]["&amp;$F835&amp;"]"</f>
        <v>[S05_BiomassInstallations][9][EmissionsFossil]</v>
      </c>
    </row>
    <row r="836" spans="1:15" x14ac:dyDescent="0.3">
      <c r="A836" t="s">
        <v>2277</v>
      </c>
      <c r="B836" t="s">
        <v>1910</v>
      </c>
      <c r="C836" t="s">
        <v>1912</v>
      </c>
      <c r="D836">
        <v>10</v>
      </c>
      <c r="E836" t="s">
        <v>1447</v>
      </c>
      <c r="F836" t="s">
        <v>1917</v>
      </c>
      <c r="G836" t="s">
        <v>1806</v>
      </c>
      <c r="H836" t="s">
        <v>2279</v>
      </c>
      <c r="I836" t="s">
        <v>2279</v>
      </c>
      <c r="J836">
        <v>19411.849892249498</v>
      </c>
      <c r="K836" t="s">
        <v>2279</v>
      </c>
      <c r="L836" t="s">
        <v>2279</v>
      </c>
      <c r="M836" t="s">
        <v>2279</v>
      </c>
      <c r="N836" t="s">
        <v>2279</v>
      </c>
      <c r="O836" s="190" t="str">
        <f>"["&amp;$C836&amp;"]["&amp;$D836&amp;"]["&amp;$F836&amp;"]"</f>
        <v>[S05_BiomassInstallations][10][EmissionsFossil]</v>
      </c>
    </row>
    <row r="837" spans="1:15" x14ac:dyDescent="0.3">
      <c r="A837" t="s">
        <v>2277</v>
      </c>
      <c r="B837" t="s">
        <v>1910</v>
      </c>
      <c r="C837" t="s">
        <v>1912</v>
      </c>
      <c r="D837">
        <v>11</v>
      </c>
      <c r="E837" t="s">
        <v>1447</v>
      </c>
      <c r="F837" t="s">
        <v>1917</v>
      </c>
      <c r="G837" t="s">
        <v>1806</v>
      </c>
      <c r="H837" t="s">
        <v>2279</v>
      </c>
      <c r="I837" t="s">
        <v>2279</v>
      </c>
      <c r="J837">
        <v>224219.90332083101</v>
      </c>
      <c r="K837" t="s">
        <v>2279</v>
      </c>
      <c r="L837" t="s">
        <v>2279</v>
      </c>
      <c r="M837" t="s">
        <v>2279</v>
      </c>
      <c r="N837" t="s">
        <v>2279</v>
      </c>
      <c r="O837" s="190" t="str">
        <f>"["&amp;$C837&amp;"]["&amp;$D837&amp;"]["&amp;$F837&amp;"]"</f>
        <v>[S05_BiomassInstallations][11][EmissionsFossil]</v>
      </c>
    </row>
    <row r="838" spans="1:15" x14ac:dyDescent="0.3">
      <c r="A838" t="s">
        <v>2277</v>
      </c>
      <c r="B838" t="s">
        <v>1910</v>
      </c>
      <c r="C838" t="s">
        <v>1912</v>
      </c>
      <c r="D838">
        <v>12</v>
      </c>
      <c r="E838" t="s">
        <v>1447</v>
      </c>
      <c r="F838" t="s">
        <v>1917</v>
      </c>
      <c r="G838" t="s">
        <v>1806</v>
      </c>
      <c r="H838" t="s">
        <v>2279</v>
      </c>
      <c r="I838" t="s">
        <v>2279</v>
      </c>
      <c r="J838">
        <v>80116.422840154904</v>
      </c>
      <c r="K838" t="s">
        <v>2279</v>
      </c>
      <c r="L838" t="s">
        <v>2279</v>
      </c>
      <c r="M838" t="s">
        <v>2279</v>
      </c>
      <c r="N838" t="s">
        <v>2279</v>
      </c>
      <c r="O838" s="190" t="str">
        <f>"["&amp;$C838&amp;"]["&amp;$D838&amp;"]["&amp;$F838&amp;"]"</f>
        <v>[S05_BiomassInstallations][12][EmissionsFossil]</v>
      </c>
    </row>
    <row r="839" spans="1:15" x14ac:dyDescent="0.3">
      <c r="A839" t="s">
        <v>2277</v>
      </c>
      <c r="B839" t="s">
        <v>1910</v>
      </c>
      <c r="C839" t="s">
        <v>1912</v>
      </c>
      <c r="D839">
        <v>1</v>
      </c>
      <c r="E839" t="s">
        <v>1447</v>
      </c>
      <c r="F839" t="s">
        <v>1918</v>
      </c>
      <c r="G839" t="s">
        <v>1806</v>
      </c>
      <c r="H839" t="s">
        <v>2279</v>
      </c>
      <c r="I839" t="s">
        <v>2279</v>
      </c>
      <c r="J839">
        <v>1875.0216390999999</v>
      </c>
      <c r="K839" t="s">
        <v>2279</v>
      </c>
      <c r="L839" t="s">
        <v>2279</v>
      </c>
      <c r="M839" t="s">
        <v>2279</v>
      </c>
      <c r="N839" t="s">
        <v>2279</v>
      </c>
      <c r="O839" s="190" t="str">
        <f>"["&amp;$C839&amp;"]["&amp;$D839&amp;"]["&amp;$F839&amp;"]"</f>
        <v>[S05_BiomassInstallations][1][EnergyZeroRatedBiomass]</v>
      </c>
    </row>
    <row r="840" spans="1:15" x14ac:dyDescent="0.3">
      <c r="A840" t="s">
        <v>2277</v>
      </c>
      <c r="B840" t="s">
        <v>1910</v>
      </c>
      <c r="C840" t="s">
        <v>1912</v>
      </c>
      <c r="D840">
        <v>2</v>
      </c>
      <c r="E840" t="s">
        <v>1447</v>
      </c>
      <c r="F840" t="s">
        <v>1918</v>
      </c>
      <c r="G840" t="s">
        <v>1806</v>
      </c>
      <c r="H840" t="s">
        <v>2279</v>
      </c>
      <c r="I840" t="s">
        <v>2279</v>
      </c>
      <c r="J840">
        <v>1841.3736080214001</v>
      </c>
      <c r="K840" t="s">
        <v>2279</v>
      </c>
      <c r="L840" t="s">
        <v>2279</v>
      </c>
      <c r="M840" t="s">
        <v>2279</v>
      </c>
      <c r="N840" t="s">
        <v>2279</v>
      </c>
      <c r="O840" s="190" t="str">
        <f>"["&amp;$C840&amp;"]["&amp;$D840&amp;"]["&amp;$F840&amp;"]"</f>
        <v>[S05_BiomassInstallations][2][EnergyZeroRatedBiomass]</v>
      </c>
    </row>
    <row r="841" spans="1:15" x14ac:dyDescent="0.3">
      <c r="A841" t="s">
        <v>2277</v>
      </c>
      <c r="B841" t="s">
        <v>1910</v>
      </c>
      <c r="C841" t="s">
        <v>1912</v>
      </c>
      <c r="D841">
        <v>3</v>
      </c>
      <c r="E841" t="s">
        <v>1447</v>
      </c>
      <c r="F841" t="s">
        <v>1918</v>
      </c>
      <c r="G841" t="s">
        <v>1806</v>
      </c>
      <c r="H841" t="s">
        <v>2279</v>
      </c>
      <c r="I841" t="s">
        <v>2279</v>
      </c>
      <c r="J841">
        <v>9871.4810255885895</v>
      </c>
      <c r="K841" t="s">
        <v>2279</v>
      </c>
      <c r="L841" t="s">
        <v>2279</v>
      </c>
      <c r="M841" t="s">
        <v>2279</v>
      </c>
      <c r="N841" t="s">
        <v>2279</v>
      </c>
      <c r="O841" s="190" t="str">
        <f>"["&amp;$C841&amp;"]["&amp;$D841&amp;"]["&amp;$F841&amp;"]"</f>
        <v>[S05_BiomassInstallations][3][EnergyZeroRatedBiomass]</v>
      </c>
    </row>
    <row r="842" spans="1:15" x14ac:dyDescent="0.3">
      <c r="A842" t="s">
        <v>2277</v>
      </c>
      <c r="B842" t="s">
        <v>1910</v>
      </c>
      <c r="C842" t="s">
        <v>1912</v>
      </c>
      <c r="D842">
        <v>4</v>
      </c>
      <c r="E842" t="s">
        <v>1447</v>
      </c>
      <c r="F842" t="s">
        <v>1918</v>
      </c>
      <c r="G842" t="s">
        <v>1806</v>
      </c>
      <c r="H842" t="s">
        <v>2279</v>
      </c>
      <c r="I842" t="s">
        <v>2279</v>
      </c>
      <c r="J842">
        <v>9479.4524719001802</v>
      </c>
      <c r="K842" t="s">
        <v>2279</v>
      </c>
      <c r="L842" t="s">
        <v>2279</v>
      </c>
      <c r="M842" t="s">
        <v>2279</v>
      </c>
      <c r="N842" t="s">
        <v>2279</v>
      </c>
      <c r="O842" s="190" t="str">
        <f>"["&amp;$C842&amp;"]["&amp;$D842&amp;"]["&amp;$F842&amp;"]"</f>
        <v>[S05_BiomassInstallations][4][EnergyZeroRatedBiomass]</v>
      </c>
    </row>
    <row r="843" spans="1:15" x14ac:dyDescent="0.3">
      <c r="A843" t="s">
        <v>2277</v>
      </c>
      <c r="B843" t="s">
        <v>1910</v>
      </c>
      <c r="C843" t="s">
        <v>1912</v>
      </c>
      <c r="D843">
        <v>5</v>
      </c>
      <c r="E843" t="s">
        <v>1447</v>
      </c>
      <c r="F843" t="s">
        <v>1918</v>
      </c>
      <c r="G843" t="s">
        <v>1806</v>
      </c>
      <c r="H843" t="s">
        <v>2279</v>
      </c>
      <c r="I843" t="s">
        <v>2279</v>
      </c>
      <c r="J843">
        <v>15455.3858973229</v>
      </c>
      <c r="K843" t="s">
        <v>2279</v>
      </c>
      <c r="L843" t="s">
        <v>2279</v>
      </c>
      <c r="M843" t="s">
        <v>2279</v>
      </c>
      <c r="N843" t="s">
        <v>2279</v>
      </c>
      <c r="O843" s="190" t="str">
        <f>"["&amp;$C843&amp;"]["&amp;$D843&amp;"]["&amp;$F843&amp;"]"</f>
        <v>[S05_BiomassInstallations][5][EnergyZeroRatedBiomass]</v>
      </c>
    </row>
    <row r="844" spans="1:15" x14ac:dyDescent="0.3">
      <c r="A844" t="s">
        <v>2277</v>
      </c>
      <c r="B844" t="s">
        <v>1910</v>
      </c>
      <c r="C844" t="s">
        <v>1912</v>
      </c>
      <c r="D844">
        <v>6</v>
      </c>
      <c r="E844" t="s">
        <v>1447</v>
      </c>
      <c r="F844" t="s">
        <v>1918</v>
      </c>
      <c r="G844" t="s">
        <v>1806</v>
      </c>
      <c r="H844" t="s">
        <v>2279</v>
      </c>
      <c r="I844" t="s">
        <v>2279</v>
      </c>
      <c r="J844">
        <v>22505.2048</v>
      </c>
      <c r="K844" t="s">
        <v>2279</v>
      </c>
      <c r="L844" t="s">
        <v>2279</v>
      </c>
      <c r="M844" t="s">
        <v>2279</v>
      </c>
      <c r="N844" t="s">
        <v>2279</v>
      </c>
      <c r="O844" s="190" t="str">
        <f>"["&amp;$C844&amp;"]["&amp;$D844&amp;"]["&amp;$F844&amp;"]"</f>
        <v>[S05_BiomassInstallations][6][EnergyZeroRatedBiomass]</v>
      </c>
    </row>
    <row r="845" spans="1:15" x14ac:dyDescent="0.3">
      <c r="A845" t="s">
        <v>2277</v>
      </c>
      <c r="B845" t="s">
        <v>1910</v>
      </c>
      <c r="C845" t="s">
        <v>1912</v>
      </c>
      <c r="D845">
        <v>7</v>
      </c>
      <c r="E845" t="s">
        <v>1447</v>
      </c>
      <c r="F845" t="s">
        <v>1918</v>
      </c>
      <c r="G845" t="s">
        <v>1806</v>
      </c>
      <c r="H845" t="s">
        <v>2279</v>
      </c>
      <c r="I845" t="s">
        <v>2279</v>
      </c>
      <c r="J845">
        <v>2830.6500479883498</v>
      </c>
      <c r="K845" t="s">
        <v>2279</v>
      </c>
      <c r="L845" t="s">
        <v>2279</v>
      </c>
      <c r="M845" t="s">
        <v>2279</v>
      </c>
      <c r="N845" t="s">
        <v>2279</v>
      </c>
      <c r="O845" s="190" t="str">
        <f>"["&amp;$C845&amp;"]["&amp;$D845&amp;"]["&amp;$F845&amp;"]"</f>
        <v>[S05_BiomassInstallations][7][EnergyZeroRatedBiomass]</v>
      </c>
    </row>
    <row r="846" spans="1:15" x14ac:dyDescent="0.3">
      <c r="A846" t="s">
        <v>2277</v>
      </c>
      <c r="B846" t="s">
        <v>1910</v>
      </c>
      <c r="C846" t="s">
        <v>1912</v>
      </c>
      <c r="D846">
        <v>8</v>
      </c>
      <c r="E846" t="s">
        <v>1447</v>
      </c>
      <c r="F846" t="s">
        <v>1918</v>
      </c>
      <c r="G846" t="s">
        <v>1806</v>
      </c>
      <c r="H846" t="s">
        <v>2279</v>
      </c>
      <c r="I846" t="s">
        <v>2279</v>
      </c>
      <c r="J846">
        <v>1665.1267060144601</v>
      </c>
      <c r="K846" t="s">
        <v>2279</v>
      </c>
      <c r="L846" t="s">
        <v>2279</v>
      </c>
      <c r="M846" t="s">
        <v>2279</v>
      </c>
      <c r="N846" t="s">
        <v>2279</v>
      </c>
      <c r="O846" s="190" t="str">
        <f>"["&amp;$C846&amp;"]["&amp;$D846&amp;"]["&amp;$F846&amp;"]"</f>
        <v>[S05_BiomassInstallations][8][EnergyZeroRatedBiomass]</v>
      </c>
    </row>
    <row r="847" spans="1:15" x14ac:dyDescent="0.3">
      <c r="A847" t="s">
        <v>2277</v>
      </c>
      <c r="B847" t="s">
        <v>1910</v>
      </c>
      <c r="C847" t="s">
        <v>1912</v>
      </c>
      <c r="D847">
        <v>9</v>
      </c>
      <c r="E847" t="s">
        <v>1447</v>
      </c>
      <c r="F847" t="s">
        <v>1918</v>
      </c>
      <c r="G847" t="s">
        <v>1806</v>
      </c>
      <c r="H847" t="s">
        <v>2279</v>
      </c>
      <c r="I847" t="s">
        <v>2279</v>
      </c>
      <c r="J847">
        <v>47.114567309476001</v>
      </c>
      <c r="K847" t="s">
        <v>2279</v>
      </c>
      <c r="L847" t="s">
        <v>2279</v>
      </c>
      <c r="M847" t="s">
        <v>2279</v>
      </c>
      <c r="N847" t="s">
        <v>2279</v>
      </c>
      <c r="O847" s="190" t="str">
        <f>"["&amp;$C847&amp;"]["&amp;$D847&amp;"]["&amp;$F847&amp;"]"</f>
        <v>[S05_BiomassInstallations][9][EnergyZeroRatedBiomass]</v>
      </c>
    </row>
    <row r="848" spans="1:15" x14ac:dyDescent="0.3">
      <c r="A848" t="s">
        <v>2277</v>
      </c>
      <c r="B848" t="s">
        <v>1910</v>
      </c>
      <c r="C848" t="s">
        <v>1912</v>
      </c>
      <c r="D848">
        <v>10</v>
      </c>
      <c r="E848" t="s">
        <v>1447</v>
      </c>
      <c r="F848" t="s">
        <v>1918</v>
      </c>
      <c r="G848" t="s">
        <v>1806</v>
      </c>
      <c r="H848" t="s">
        <v>2279</v>
      </c>
      <c r="I848" t="s">
        <v>2279</v>
      </c>
      <c r="J848">
        <v>43.942147200000001</v>
      </c>
      <c r="K848" t="s">
        <v>2279</v>
      </c>
      <c r="L848" t="s">
        <v>2279</v>
      </c>
      <c r="M848" t="s">
        <v>2279</v>
      </c>
      <c r="N848" t="s">
        <v>2279</v>
      </c>
      <c r="O848" s="190" t="str">
        <f>"["&amp;$C848&amp;"]["&amp;$D848&amp;"]["&amp;$F848&amp;"]"</f>
        <v>[S05_BiomassInstallations][10][EnergyZeroRatedBiomass]</v>
      </c>
    </row>
    <row r="849" spans="1:15" x14ac:dyDescent="0.3">
      <c r="A849" t="s">
        <v>2277</v>
      </c>
      <c r="B849" t="s">
        <v>1910</v>
      </c>
      <c r="C849" t="s">
        <v>1912</v>
      </c>
      <c r="D849">
        <v>11</v>
      </c>
      <c r="E849" t="s">
        <v>1447</v>
      </c>
      <c r="F849" t="s">
        <v>1918</v>
      </c>
      <c r="G849" t="s">
        <v>1806</v>
      </c>
      <c r="H849" t="s">
        <v>2279</v>
      </c>
      <c r="I849" t="s">
        <v>2279</v>
      </c>
      <c r="J849">
        <v>52.980018000000001</v>
      </c>
      <c r="K849" t="s">
        <v>2279</v>
      </c>
      <c r="L849" t="s">
        <v>2279</v>
      </c>
      <c r="M849" t="s">
        <v>2279</v>
      </c>
      <c r="N849" t="s">
        <v>2279</v>
      </c>
      <c r="O849" s="190" t="str">
        <f>"["&amp;$C849&amp;"]["&amp;$D849&amp;"]["&amp;$F849&amp;"]"</f>
        <v>[S05_BiomassInstallations][11][EnergyZeroRatedBiomass]</v>
      </c>
    </row>
    <row r="850" spans="1:15" x14ac:dyDescent="0.3">
      <c r="A850" t="s">
        <v>2277</v>
      </c>
      <c r="B850" t="s">
        <v>1910</v>
      </c>
      <c r="C850" t="s">
        <v>1912</v>
      </c>
      <c r="D850">
        <v>12</v>
      </c>
      <c r="E850" t="s">
        <v>1447</v>
      </c>
      <c r="F850" t="s">
        <v>1918</v>
      </c>
      <c r="G850" t="s">
        <v>1806</v>
      </c>
      <c r="H850" t="s">
        <v>2279</v>
      </c>
      <c r="I850" t="s">
        <v>2279</v>
      </c>
      <c r="J850">
        <v>1.2296</v>
      </c>
      <c r="K850" t="s">
        <v>2279</v>
      </c>
      <c r="L850" t="s">
        <v>2279</v>
      </c>
      <c r="M850" t="s">
        <v>2279</v>
      </c>
      <c r="N850" t="s">
        <v>2279</v>
      </c>
      <c r="O850" s="190" t="str">
        <f>"["&amp;$C850&amp;"]["&amp;$D850&amp;"]["&amp;$F850&amp;"]"</f>
        <v>[S05_BiomassInstallations][12][EnergyZeroRatedBiomass]</v>
      </c>
    </row>
    <row r="851" spans="1:15" x14ac:dyDescent="0.3">
      <c r="A851" t="s">
        <v>2277</v>
      </c>
      <c r="B851" t="s">
        <v>1910</v>
      </c>
      <c r="C851" t="s">
        <v>1912</v>
      </c>
      <c r="D851">
        <v>1</v>
      </c>
      <c r="E851" t="s">
        <v>1447</v>
      </c>
      <c r="F851" t="s">
        <v>1919</v>
      </c>
      <c r="G851" t="s">
        <v>1806</v>
      </c>
      <c r="H851" t="s">
        <v>2279</v>
      </c>
      <c r="I851" t="s">
        <v>2279</v>
      </c>
      <c r="J851">
        <v>0</v>
      </c>
      <c r="K851" t="s">
        <v>2279</v>
      </c>
      <c r="L851" t="s">
        <v>2279</v>
      </c>
      <c r="M851" t="s">
        <v>2279</v>
      </c>
      <c r="N851" t="s">
        <v>2279</v>
      </c>
      <c r="O851" s="190" t="str">
        <f>"["&amp;$C851&amp;"]["&amp;$D851&amp;"]["&amp;$F851&amp;"]"</f>
        <v>[S05_BiomassInstallations][1][EnergyNonZeroRatedBiomass]</v>
      </c>
    </row>
    <row r="852" spans="1:15" x14ac:dyDescent="0.3">
      <c r="A852" t="s">
        <v>2277</v>
      </c>
      <c r="B852" t="s">
        <v>1910</v>
      </c>
      <c r="C852" t="s">
        <v>1912</v>
      </c>
      <c r="D852">
        <v>2</v>
      </c>
      <c r="E852" t="s">
        <v>1447</v>
      </c>
      <c r="F852" t="s">
        <v>1919</v>
      </c>
      <c r="G852" t="s">
        <v>1806</v>
      </c>
      <c r="H852" t="s">
        <v>2279</v>
      </c>
      <c r="I852" t="s">
        <v>2279</v>
      </c>
      <c r="J852">
        <v>0</v>
      </c>
      <c r="K852" t="s">
        <v>2279</v>
      </c>
      <c r="L852" t="s">
        <v>2279</v>
      </c>
      <c r="M852" t="s">
        <v>2279</v>
      </c>
      <c r="N852" t="s">
        <v>2279</v>
      </c>
      <c r="O852" s="190" t="str">
        <f>"["&amp;$C852&amp;"]["&amp;$D852&amp;"]["&amp;$F852&amp;"]"</f>
        <v>[S05_BiomassInstallations][2][EnergyNonZeroRatedBiomass]</v>
      </c>
    </row>
    <row r="853" spans="1:15" x14ac:dyDescent="0.3">
      <c r="A853" t="s">
        <v>2277</v>
      </c>
      <c r="B853" t="s">
        <v>1910</v>
      </c>
      <c r="C853" t="s">
        <v>1912</v>
      </c>
      <c r="D853">
        <v>3</v>
      </c>
      <c r="E853" t="s">
        <v>1447</v>
      </c>
      <c r="F853" t="s">
        <v>1919</v>
      </c>
      <c r="G853" t="s">
        <v>1806</v>
      </c>
      <c r="H853" t="s">
        <v>2279</v>
      </c>
      <c r="I853" t="s">
        <v>2279</v>
      </c>
      <c r="J853">
        <v>0</v>
      </c>
      <c r="K853" t="s">
        <v>2279</v>
      </c>
      <c r="L853" t="s">
        <v>2279</v>
      </c>
      <c r="M853" t="s">
        <v>2279</v>
      </c>
      <c r="N853" t="s">
        <v>2279</v>
      </c>
      <c r="O853" s="190" t="str">
        <f>"["&amp;$C853&amp;"]["&amp;$D853&amp;"]["&amp;$F853&amp;"]"</f>
        <v>[S05_BiomassInstallations][3][EnergyNonZeroRatedBiomass]</v>
      </c>
    </row>
    <row r="854" spans="1:15" x14ac:dyDescent="0.3">
      <c r="A854" t="s">
        <v>2277</v>
      </c>
      <c r="B854" t="s">
        <v>1910</v>
      </c>
      <c r="C854" t="s">
        <v>1912</v>
      </c>
      <c r="D854">
        <v>4</v>
      </c>
      <c r="E854" t="s">
        <v>1447</v>
      </c>
      <c r="F854" t="s">
        <v>1919</v>
      </c>
      <c r="G854" t="s">
        <v>1806</v>
      </c>
      <c r="H854" t="s">
        <v>2279</v>
      </c>
      <c r="I854" t="s">
        <v>2279</v>
      </c>
      <c r="J854">
        <v>0</v>
      </c>
      <c r="K854" t="s">
        <v>2279</v>
      </c>
      <c r="L854" t="s">
        <v>2279</v>
      </c>
      <c r="M854" t="s">
        <v>2279</v>
      </c>
      <c r="N854" t="s">
        <v>2279</v>
      </c>
      <c r="O854" s="190" t="str">
        <f>"["&amp;$C854&amp;"]["&amp;$D854&amp;"]["&amp;$F854&amp;"]"</f>
        <v>[S05_BiomassInstallations][4][EnergyNonZeroRatedBiomass]</v>
      </c>
    </row>
    <row r="855" spans="1:15" x14ac:dyDescent="0.3">
      <c r="A855" t="s">
        <v>2277</v>
      </c>
      <c r="B855" t="s">
        <v>1910</v>
      </c>
      <c r="C855" t="s">
        <v>1912</v>
      </c>
      <c r="D855">
        <v>5</v>
      </c>
      <c r="E855" t="s">
        <v>1447</v>
      </c>
      <c r="F855" t="s">
        <v>1919</v>
      </c>
      <c r="G855" t="s">
        <v>1806</v>
      </c>
      <c r="H855" t="s">
        <v>2279</v>
      </c>
      <c r="I855" t="s">
        <v>2279</v>
      </c>
      <c r="J855">
        <v>0</v>
      </c>
      <c r="K855" t="s">
        <v>2279</v>
      </c>
      <c r="L855" t="s">
        <v>2279</v>
      </c>
      <c r="M855" t="s">
        <v>2279</v>
      </c>
      <c r="N855" t="s">
        <v>2279</v>
      </c>
      <c r="O855" s="190" t="str">
        <f>"["&amp;$C855&amp;"]["&amp;$D855&amp;"]["&amp;$F855&amp;"]"</f>
        <v>[S05_BiomassInstallations][5][EnergyNonZeroRatedBiomass]</v>
      </c>
    </row>
    <row r="856" spans="1:15" x14ac:dyDescent="0.3">
      <c r="A856" t="s">
        <v>2277</v>
      </c>
      <c r="B856" t="s">
        <v>1910</v>
      </c>
      <c r="C856" t="s">
        <v>1912</v>
      </c>
      <c r="D856">
        <v>6</v>
      </c>
      <c r="E856" t="s">
        <v>1447</v>
      </c>
      <c r="F856" t="s">
        <v>1919</v>
      </c>
      <c r="G856" t="s">
        <v>1806</v>
      </c>
      <c r="H856" t="s">
        <v>2279</v>
      </c>
      <c r="I856" t="s">
        <v>2279</v>
      </c>
      <c r="J856">
        <v>0</v>
      </c>
      <c r="K856" t="s">
        <v>2279</v>
      </c>
      <c r="L856" t="s">
        <v>2279</v>
      </c>
      <c r="M856" t="s">
        <v>2279</v>
      </c>
      <c r="N856" t="s">
        <v>2279</v>
      </c>
      <c r="O856" s="190" t="str">
        <f>"["&amp;$C856&amp;"]["&amp;$D856&amp;"]["&amp;$F856&amp;"]"</f>
        <v>[S05_BiomassInstallations][6][EnergyNonZeroRatedBiomass]</v>
      </c>
    </row>
    <row r="857" spans="1:15" x14ac:dyDescent="0.3">
      <c r="A857" t="s">
        <v>2277</v>
      </c>
      <c r="B857" t="s">
        <v>1910</v>
      </c>
      <c r="C857" t="s">
        <v>1912</v>
      </c>
      <c r="D857">
        <v>7</v>
      </c>
      <c r="E857" t="s">
        <v>1447</v>
      </c>
      <c r="F857" t="s">
        <v>1919</v>
      </c>
      <c r="G857" t="s">
        <v>1806</v>
      </c>
      <c r="H857" t="s">
        <v>2279</v>
      </c>
      <c r="I857" t="s">
        <v>2279</v>
      </c>
      <c r="J857">
        <v>0</v>
      </c>
      <c r="K857" t="s">
        <v>2279</v>
      </c>
      <c r="L857" t="s">
        <v>2279</v>
      </c>
      <c r="M857" t="s">
        <v>2279</v>
      </c>
      <c r="N857" t="s">
        <v>2279</v>
      </c>
      <c r="O857" s="190" t="str">
        <f>"["&amp;$C857&amp;"]["&amp;$D857&amp;"]["&amp;$F857&amp;"]"</f>
        <v>[S05_BiomassInstallations][7][EnergyNonZeroRatedBiomass]</v>
      </c>
    </row>
    <row r="858" spans="1:15" x14ac:dyDescent="0.3">
      <c r="A858" t="s">
        <v>2277</v>
      </c>
      <c r="B858" t="s">
        <v>1910</v>
      </c>
      <c r="C858" t="s">
        <v>1912</v>
      </c>
      <c r="D858">
        <v>8</v>
      </c>
      <c r="E858" t="s">
        <v>1447</v>
      </c>
      <c r="F858" t="s">
        <v>1919</v>
      </c>
      <c r="G858" t="s">
        <v>1806</v>
      </c>
      <c r="H858" t="s">
        <v>2279</v>
      </c>
      <c r="I858" t="s">
        <v>2279</v>
      </c>
      <c r="J858">
        <v>0</v>
      </c>
      <c r="K858" t="s">
        <v>2279</v>
      </c>
      <c r="L858" t="s">
        <v>2279</v>
      </c>
      <c r="M858" t="s">
        <v>2279</v>
      </c>
      <c r="N858" t="s">
        <v>2279</v>
      </c>
      <c r="O858" s="190" t="str">
        <f>"["&amp;$C858&amp;"]["&amp;$D858&amp;"]["&amp;$F858&amp;"]"</f>
        <v>[S05_BiomassInstallations][8][EnergyNonZeroRatedBiomass]</v>
      </c>
    </row>
    <row r="859" spans="1:15" x14ac:dyDescent="0.3">
      <c r="A859" t="s">
        <v>2277</v>
      </c>
      <c r="B859" t="s">
        <v>1910</v>
      </c>
      <c r="C859" t="s">
        <v>1912</v>
      </c>
      <c r="D859">
        <v>9</v>
      </c>
      <c r="E859" t="s">
        <v>1447</v>
      </c>
      <c r="F859" t="s">
        <v>1919</v>
      </c>
      <c r="G859" t="s">
        <v>1806</v>
      </c>
      <c r="H859" t="s">
        <v>2279</v>
      </c>
      <c r="I859" t="s">
        <v>2279</v>
      </c>
      <c r="J859">
        <v>0</v>
      </c>
      <c r="K859" t="s">
        <v>2279</v>
      </c>
      <c r="L859" t="s">
        <v>2279</v>
      </c>
      <c r="M859" t="s">
        <v>2279</v>
      </c>
      <c r="N859" t="s">
        <v>2279</v>
      </c>
      <c r="O859" s="190" t="str">
        <f>"["&amp;$C859&amp;"]["&amp;$D859&amp;"]["&amp;$F859&amp;"]"</f>
        <v>[S05_BiomassInstallations][9][EnergyNonZeroRatedBiomass]</v>
      </c>
    </row>
    <row r="860" spans="1:15" x14ac:dyDescent="0.3">
      <c r="A860" t="s">
        <v>2277</v>
      </c>
      <c r="B860" t="s">
        <v>1910</v>
      </c>
      <c r="C860" t="s">
        <v>1912</v>
      </c>
      <c r="D860">
        <v>10</v>
      </c>
      <c r="E860" t="s">
        <v>1447</v>
      </c>
      <c r="F860" t="s">
        <v>1919</v>
      </c>
      <c r="G860" t="s">
        <v>1806</v>
      </c>
      <c r="H860" t="s">
        <v>2279</v>
      </c>
      <c r="I860" t="s">
        <v>2279</v>
      </c>
      <c r="J860">
        <v>0</v>
      </c>
      <c r="K860" t="s">
        <v>2279</v>
      </c>
      <c r="L860" t="s">
        <v>2279</v>
      </c>
      <c r="M860" t="s">
        <v>2279</v>
      </c>
      <c r="N860" t="s">
        <v>2279</v>
      </c>
      <c r="O860" s="190" t="str">
        <f>"["&amp;$C860&amp;"]["&amp;$D860&amp;"]["&amp;$F860&amp;"]"</f>
        <v>[S05_BiomassInstallations][10][EnergyNonZeroRatedBiomass]</v>
      </c>
    </row>
    <row r="861" spans="1:15" x14ac:dyDescent="0.3">
      <c r="A861" t="s">
        <v>2277</v>
      </c>
      <c r="B861" t="s">
        <v>1910</v>
      </c>
      <c r="C861" t="s">
        <v>1912</v>
      </c>
      <c r="D861">
        <v>11</v>
      </c>
      <c r="E861" t="s">
        <v>1447</v>
      </c>
      <c r="F861" t="s">
        <v>1919</v>
      </c>
      <c r="G861" t="s">
        <v>1806</v>
      </c>
      <c r="H861" t="s">
        <v>2279</v>
      </c>
      <c r="I861" t="s">
        <v>2279</v>
      </c>
      <c r="J861">
        <v>0</v>
      </c>
      <c r="K861" t="s">
        <v>2279</v>
      </c>
      <c r="L861" t="s">
        <v>2279</v>
      </c>
      <c r="M861" t="s">
        <v>2279</v>
      </c>
      <c r="N861" t="s">
        <v>2279</v>
      </c>
      <c r="O861" s="190" t="str">
        <f>"["&amp;$C861&amp;"]["&amp;$D861&amp;"]["&amp;$F861&amp;"]"</f>
        <v>[S05_BiomassInstallations][11][EnergyNonZeroRatedBiomass]</v>
      </c>
    </row>
    <row r="862" spans="1:15" x14ac:dyDescent="0.3">
      <c r="A862" t="s">
        <v>2277</v>
      </c>
      <c r="B862" t="s">
        <v>1910</v>
      </c>
      <c r="C862" t="s">
        <v>1912</v>
      </c>
      <c r="D862">
        <v>12</v>
      </c>
      <c r="E862" t="s">
        <v>1447</v>
      </c>
      <c r="F862" t="s">
        <v>1919</v>
      </c>
      <c r="G862" t="s">
        <v>1806</v>
      </c>
      <c r="H862" t="s">
        <v>2279</v>
      </c>
      <c r="I862" t="s">
        <v>2279</v>
      </c>
      <c r="J862">
        <v>0</v>
      </c>
      <c r="K862" t="s">
        <v>2279</v>
      </c>
      <c r="L862" t="s">
        <v>2279</v>
      </c>
      <c r="M862" t="s">
        <v>2279</v>
      </c>
      <c r="N862" t="s">
        <v>2279</v>
      </c>
      <c r="O862" s="190" t="str">
        <f>"["&amp;$C862&amp;"]["&amp;$D862&amp;"]["&amp;$F862&amp;"]"</f>
        <v>[S05_BiomassInstallations][12][EnergyNonZeroRatedBiomass]</v>
      </c>
    </row>
    <row r="863" spans="1:15" x14ac:dyDescent="0.3">
      <c r="A863" t="s">
        <v>2277</v>
      </c>
      <c r="B863" t="s">
        <v>1910</v>
      </c>
      <c r="C863" t="s">
        <v>1912</v>
      </c>
      <c r="D863">
        <v>1</v>
      </c>
      <c r="E863" t="s">
        <v>1447</v>
      </c>
      <c r="F863" t="s">
        <v>1920</v>
      </c>
      <c r="G863" t="s">
        <v>1806</v>
      </c>
      <c r="H863" t="s">
        <v>2279</v>
      </c>
      <c r="I863" t="s">
        <v>2279</v>
      </c>
      <c r="J863">
        <v>1798.2724587775899</v>
      </c>
      <c r="K863" t="s">
        <v>2279</v>
      </c>
      <c r="L863" t="s">
        <v>2279</v>
      </c>
      <c r="M863" t="s">
        <v>2279</v>
      </c>
      <c r="N863" t="s">
        <v>2279</v>
      </c>
      <c r="O863" s="190" t="str">
        <f>"["&amp;$C863&amp;"]["&amp;$D863&amp;"]["&amp;$F863&amp;"]"</f>
        <v>[S05_BiomassInstallations][1][EnergyFossil]</v>
      </c>
    </row>
    <row r="864" spans="1:15" x14ac:dyDescent="0.3">
      <c r="A864" t="s">
        <v>2277</v>
      </c>
      <c r="B864" t="s">
        <v>1910</v>
      </c>
      <c r="C864" t="s">
        <v>1912</v>
      </c>
      <c r="D864">
        <v>2</v>
      </c>
      <c r="E864" t="s">
        <v>1447</v>
      </c>
      <c r="F864" t="s">
        <v>1920</v>
      </c>
      <c r="G864" t="s">
        <v>1806</v>
      </c>
      <c r="H864" t="s">
        <v>2279</v>
      </c>
      <c r="I864" t="s">
        <v>2279</v>
      </c>
      <c r="J864">
        <v>60549.029128948299</v>
      </c>
      <c r="K864" t="s">
        <v>2279</v>
      </c>
      <c r="L864" t="s">
        <v>2279</v>
      </c>
      <c r="M864" t="s">
        <v>2279</v>
      </c>
      <c r="N864" t="s">
        <v>2279</v>
      </c>
      <c r="O864" s="190" t="str">
        <f>"["&amp;$C864&amp;"]["&amp;$D864&amp;"]["&amp;$F864&amp;"]"</f>
        <v>[S05_BiomassInstallations][2][EnergyFossil]</v>
      </c>
    </row>
    <row r="865" spans="1:15" x14ac:dyDescent="0.3">
      <c r="A865" t="s">
        <v>2277</v>
      </c>
      <c r="B865" t="s">
        <v>1910</v>
      </c>
      <c r="C865" t="s">
        <v>1912</v>
      </c>
      <c r="D865">
        <v>3</v>
      </c>
      <c r="E865" t="s">
        <v>1447</v>
      </c>
      <c r="F865" t="s">
        <v>1920</v>
      </c>
      <c r="G865" t="s">
        <v>1806</v>
      </c>
      <c r="H865" t="s">
        <v>2279</v>
      </c>
      <c r="I865" t="s">
        <v>2279</v>
      </c>
      <c r="J865">
        <v>36180.877251142098</v>
      </c>
      <c r="K865" t="s">
        <v>2279</v>
      </c>
      <c r="L865" t="s">
        <v>2279</v>
      </c>
      <c r="M865" t="s">
        <v>2279</v>
      </c>
      <c r="N865" t="s">
        <v>2279</v>
      </c>
      <c r="O865" s="190" t="str">
        <f>"["&amp;$C865&amp;"]["&amp;$D865&amp;"]["&amp;$F865&amp;"]"</f>
        <v>[S05_BiomassInstallations][3][EnergyFossil]</v>
      </c>
    </row>
    <row r="866" spans="1:15" x14ac:dyDescent="0.3">
      <c r="A866" t="s">
        <v>2277</v>
      </c>
      <c r="B866" t="s">
        <v>1910</v>
      </c>
      <c r="C866" t="s">
        <v>1912</v>
      </c>
      <c r="D866">
        <v>4</v>
      </c>
      <c r="E866" t="s">
        <v>1447</v>
      </c>
      <c r="F866" t="s">
        <v>1920</v>
      </c>
      <c r="G866" t="s">
        <v>1806</v>
      </c>
      <c r="H866" t="s">
        <v>2279</v>
      </c>
      <c r="I866" t="s">
        <v>2279</v>
      </c>
      <c r="J866">
        <v>3781.5627694250802</v>
      </c>
      <c r="K866" t="s">
        <v>2279</v>
      </c>
      <c r="L866" t="s">
        <v>2279</v>
      </c>
      <c r="M866" t="s">
        <v>2279</v>
      </c>
      <c r="N866" t="s">
        <v>2279</v>
      </c>
      <c r="O866" s="190" t="str">
        <f>"["&amp;$C866&amp;"]["&amp;$D866&amp;"]["&amp;$F866&amp;"]"</f>
        <v>[S05_BiomassInstallations][4][EnergyFossil]</v>
      </c>
    </row>
    <row r="867" spans="1:15" x14ac:dyDescent="0.3">
      <c r="A867" t="s">
        <v>2277</v>
      </c>
      <c r="B867" t="s">
        <v>1910</v>
      </c>
      <c r="C867" t="s">
        <v>1912</v>
      </c>
      <c r="D867">
        <v>5</v>
      </c>
      <c r="E867" t="s">
        <v>1447</v>
      </c>
      <c r="F867" t="s">
        <v>1920</v>
      </c>
      <c r="G867" t="s">
        <v>1806</v>
      </c>
      <c r="H867" t="s">
        <v>2279</v>
      </c>
      <c r="I867" t="s">
        <v>2279</v>
      </c>
      <c r="J867">
        <v>4486.1679667174903</v>
      </c>
      <c r="K867" t="s">
        <v>2279</v>
      </c>
      <c r="L867" t="s">
        <v>2279</v>
      </c>
      <c r="M867" t="s">
        <v>2279</v>
      </c>
      <c r="N867" t="s">
        <v>2279</v>
      </c>
      <c r="O867" s="190" t="str">
        <f>"["&amp;$C867&amp;"]["&amp;$D867&amp;"]["&amp;$F867&amp;"]"</f>
        <v>[S05_BiomassInstallations][5][EnergyFossil]</v>
      </c>
    </row>
    <row r="868" spans="1:15" x14ac:dyDescent="0.3">
      <c r="A868" t="s">
        <v>2277</v>
      </c>
      <c r="B868" t="s">
        <v>1910</v>
      </c>
      <c r="C868" t="s">
        <v>1912</v>
      </c>
      <c r="D868">
        <v>6</v>
      </c>
      <c r="E868" t="s">
        <v>1447</v>
      </c>
      <c r="F868" t="s">
        <v>1920</v>
      </c>
      <c r="G868" t="s">
        <v>1806</v>
      </c>
      <c r="H868" t="s">
        <v>2279</v>
      </c>
      <c r="I868" t="s">
        <v>2279</v>
      </c>
      <c r="J868">
        <v>113.44009866</v>
      </c>
      <c r="K868" t="s">
        <v>2279</v>
      </c>
      <c r="L868" t="s">
        <v>2279</v>
      </c>
      <c r="M868" t="s">
        <v>2279</v>
      </c>
      <c r="N868" t="s">
        <v>2279</v>
      </c>
      <c r="O868" s="190" t="str">
        <f>"["&amp;$C868&amp;"]["&amp;$D868&amp;"]["&amp;$F868&amp;"]"</f>
        <v>[S05_BiomassInstallations][6][EnergyFossil]</v>
      </c>
    </row>
    <row r="869" spans="1:15" x14ac:dyDescent="0.3">
      <c r="A869" t="s">
        <v>2277</v>
      </c>
      <c r="B869" t="s">
        <v>1910</v>
      </c>
      <c r="C869" t="s">
        <v>1912</v>
      </c>
      <c r="D869">
        <v>7</v>
      </c>
      <c r="E869" t="s">
        <v>1447</v>
      </c>
      <c r="F869" t="s">
        <v>1920</v>
      </c>
      <c r="G869" t="s">
        <v>1806</v>
      </c>
      <c r="H869" t="s">
        <v>2279</v>
      </c>
      <c r="I869" t="s">
        <v>2279</v>
      </c>
      <c r="J869">
        <v>6482.2944314606802</v>
      </c>
      <c r="K869" t="s">
        <v>2279</v>
      </c>
      <c r="L869" t="s">
        <v>2279</v>
      </c>
      <c r="M869" t="s">
        <v>2279</v>
      </c>
      <c r="N869" t="s">
        <v>2279</v>
      </c>
      <c r="O869" s="190" t="str">
        <f>"["&amp;$C869&amp;"]["&amp;$D869&amp;"]["&amp;$F869&amp;"]"</f>
        <v>[S05_BiomassInstallations][7][EnergyFossil]</v>
      </c>
    </row>
    <row r="870" spans="1:15" x14ac:dyDescent="0.3">
      <c r="A870" t="s">
        <v>2277</v>
      </c>
      <c r="B870" t="s">
        <v>1910</v>
      </c>
      <c r="C870" t="s">
        <v>1912</v>
      </c>
      <c r="D870">
        <v>8</v>
      </c>
      <c r="E870" t="s">
        <v>1447</v>
      </c>
      <c r="F870" t="s">
        <v>1920</v>
      </c>
      <c r="G870" t="s">
        <v>1806</v>
      </c>
      <c r="H870" t="s">
        <v>2279</v>
      </c>
      <c r="I870" t="s">
        <v>2279</v>
      </c>
      <c r="J870">
        <v>3217.48927410034</v>
      </c>
      <c r="K870" t="s">
        <v>2279</v>
      </c>
      <c r="L870" t="s">
        <v>2279</v>
      </c>
      <c r="M870" t="s">
        <v>2279</v>
      </c>
      <c r="N870" t="s">
        <v>2279</v>
      </c>
      <c r="O870" s="190" t="str">
        <f>"["&amp;$C870&amp;"]["&amp;$D870&amp;"]["&amp;$F870&amp;"]"</f>
        <v>[S05_BiomassInstallations][8][EnergyFossil]</v>
      </c>
    </row>
    <row r="871" spans="1:15" x14ac:dyDescent="0.3">
      <c r="A871" t="s">
        <v>2277</v>
      </c>
      <c r="B871" t="s">
        <v>1910</v>
      </c>
      <c r="C871" t="s">
        <v>1912</v>
      </c>
      <c r="D871">
        <v>9</v>
      </c>
      <c r="E871" t="s">
        <v>1447</v>
      </c>
      <c r="F871" t="s">
        <v>1920</v>
      </c>
      <c r="G871" t="s">
        <v>1806</v>
      </c>
      <c r="H871" t="s">
        <v>2279</v>
      </c>
      <c r="I871" t="s">
        <v>2279</v>
      </c>
      <c r="J871">
        <v>342.07208761898897</v>
      </c>
      <c r="K871" t="s">
        <v>2279</v>
      </c>
      <c r="L871" t="s">
        <v>2279</v>
      </c>
      <c r="M871" t="s">
        <v>2279</v>
      </c>
      <c r="N871" t="s">
        <v>2279</v>
      </c>
      <c r="O871" s="190" t="str">
        <f>"["&amp;$C871&amp;"]["&amp;$D871&amp;"]["&amp;$F871&amp;"]"</f>
        <v>[S05_BiomassInstallations][9][EnergyFossil]</v>
      </c>
    </row>
    <row r="872" spans="1:15" x14ac:dyDescent="0.3">
      <c r="A872" t="s">
        <v>2277</v>
      </c>
      <c r="B872" t="s">
        <v>1910</v>
      </c>
      <c r="C872" t="s">
        <v>1912</v>
      </c>
      <c r="D872">
        <v>10</v>
      </c>
      <c r="E872" t="s">
        <v>1447</v>
      </c>
      <c r="F872" t="s">
        <v>1920</v>
      </c>
      <c r="G872" t="s">
        <v>1806</v>
      </c>
      <c r="H872" t="s">
        <v>2279</v>
      </c>
      <c r="I872" t="s">
        <v>2279</v>
      </c>
      <c r="J872">
        <v>350.07844711000001</v>
      </c>
      <c r="K872" t="s">
        <v>2279</v>
      </c>
      <c r="L872" t="s">
        <v>2279</v>
      </c>
      <c r="M872" t="s">
        <v>2279</v>
      </c>
      <c r="N872" t="s">
        <v>2279</v>
      </c>
      <c r="O872" s="190" t="str">
        <f>"["&amp;$C872&amp;"]["&amp;$D872&amp;"]["&amp;$F872&amp;"]"</f>
        <v>[S05_BiomassInstallations][10][EnergyFossil]</v>
      </c>
    </row>
    <row r="873" spans="1:15" x14ac:dyDescent="0.3">
      <c r="A873" t="s">
        <v>2277</v>
      </c>
      <c r="B873" t="s">
        <v>1910</v>
      </c>
      <c r="C873" t="s">
        <v>1912</v>
      </c>
      <c r="D873">
        <v>11</v>
      </c>
      <c r="E873" t="s">
        <v>1447</v>
      </c>
      <c r="F873" t="s">
        <v>1920</v>
      </c>
      <c r="G873" t="s">
        <v>1806</v>
      </c>
      <c r="H873" t="s">
        <v>2279</v>
      </c>
      <c r="I873" t="s">
        <v>2279</v>
      </c>
      <c r="J873">
        <v>2497.1469623500002</v>
      </c>
      <c r="K873" t="s">
        <v>2279</v>
      </c>
      <c r="L873" t="s">
        <v>2279</v>
      </c>
      <c r="M873" t="s">
        <v>2279</v>
      </c>
      <c r="N873" t="s">
        <v>2279</v>
      </c>
      <c r="O873" s="190" t="str">
        <f>"["&amp;$C873&amp;"]["&amp;$D873&amp;"]["&amp;$F873&amp;"]"</f>
        <v>[S05_BiomassInstallations][11][EnergyFossil]</v>
      </c>
    </row>
    <row r="874" spans="1:15" x14ac:dyDescent="0.3">
      <c r="A874" t="s">
        <v>2277</v>
      </c>
      <c r="B874" t="s">
        <v>1910</v>
      </c>
      <c r="C874" t="s">
        <v>1912</v>
      </c>
      <c r="D874">
        <v>12</v>
      </c>
      <c r="E874" t="s">
        <v>1447</v>
      </c>
      <c r="F874" t="s">
        <v>1920</v>
      </c>
      <c r="G874" t="s">
        <v>1806</v>
      </c>
      <c r="H874" t="s">
        <v>2279</v>
      </c>
      <c r="I874" t="s">
        <v>2279</v>
      </c>
      <c r="J874">
        <v>1210.8854769</v>
      </c>
      <c r="K874" t="s">
        <v>2279</v>
      </c>
      <c r="L874" t="s">
        <v>2279</v>
      </c>
      <c r="M874" t="s">
        <v>2279</v>
      </c>
      <c r="N874" t="s">
        <v>2279</v>
      </c>
      <c r="O874" s="190" t="str">
        <f>"["&amp;$C874&amp;"]["&amp;$D874&amp;"]["&amp;$F874&amp;"]"</f>
        <v>[S05_BiomassInstallations][12][EnergyFossil]</v>
      </c>
    </row>
    <row r="875" spans="1:15" x14ac:dyDescent="0.3">
      <c r="A875" t="s">
        <v>2277</v>
      </c>
      <c r="B875" t="s">
        <v>1921</v>
      </c>
      <c r="C875" t="s">
        <v>1922</v>
      </c>
      <c r="D875">
        <v>0</v>
      </c>
      <c r="E875" t="s">
        <v>1447</v>
      </c>
      <c r="F875" t="s">
        <v>1922</v>
      </c>
      <c r="G875" t="s">
        <v>1806</v>
      </c>
      <c r="H875" t="s">
        <v>2279</v>
      </c>
      <c r="I875" t="s">
        <v>2279</v>
      </c>
      <c r="J875">
        <v>538401.62303000398</v>
      </c>
      <c r="K875" t="s">
        <v>2279</v>
      </c>
      <c r="L875" t="s">
        <v>2279</v>
      </c>
      <c r="M875" t="s">
        <v>2279</v>
      </c>
      <c r="N875" t="s">
        <v>2279</v>
      </c>
      <c r="O875" s="190" t="str">
        <f>"["&amp;$C875&amp;"]["&amp;$D875&amp;"]["&amp;$F875&amp;"]"</f>
        <v>[WasteFuelFossilCO2][0][WasteFuelFossilCO2]</v>
      </c>
    </row>
    <row r="876" spans="1:15" x14ac:dyDescent="0.3">
      <c r="A876" t="s">
        <v>2277</v>
      </c>
      <c r="B876" t="s">
        <v>1923</v>
      </c>
      <c r="C876" t="s">
        <v>1924</v>
      </c>
      <c r="D876">
        <v>0</v>
      </c>
      <c r="E876" t="s">
        <v>1447</v>
      </c>
      <c r="F876" t="s">
        <v>1924</v>
      </c>
      <c r="G876" t="s">
        <v>1759</v>
      </c>
      <c r="H876" t="s">
        <v>2279</v>
      </c>
      <c r="I876" t="s">
        <v>2279</v>
      </c>
      <c r="J876" t="s">
        <v>2279</v>
      </c>
      <c r="K876" t="s">
        <v>2279</v>
      </c>
      <c r="L876" t="s">
        <v>1447</v>
      </c>
      <c r="M876" t="s">
        <v>2279</v>
      </c>
      <c r="N876" t="s">
        <v>2279</v>
      </c>
      <c r="O876" s="190" t="str">
        <f>"["&amp;$C876&amp;"]["&amp;$D876&amp;"]["&amp;$F876&amp;"]"</f>
        <v>[SimplifiedMonitoringArt13][0][SimplifiedMonitoringArt13]</v>
      </c>
    </row>
    <row r="877" spans="1:15" x14ac:dyDescent="0.3">
      <c r="A877" t="s">
        <v>2277</v>
      </c>
      <c r="B877" t="s">
        <v>1928</v>
      </c>
      <c r="C877" t="s">
        <v>1929</v>
      </c>
      <c r="D877">
        <v>1</v>
      </c>
      <c r="E877" t="s">
        <v>1447</v>
      </c>
      <c r="F877" t="s">
        <v>1930</v>
      </c>
      <c r="G877" t="s">
        <v>1748</v>
      </c>
      <c r="H877" t="s">
        <v>2279</v>
      </c>
      <c r="I877">
        <v>0</v>
      </c>
      <c r="J877" t="s">
        <v>2279</v>
      </c>
      <c r="K877" t="s">
        <v>2279</v>
      </c>
      <c r="L877" t="s">
        <v>2279</v>
      </c>
      <c r="M877" t="s">
        <v>2279</v>
      </c>
      <c r="N877" t="s">
        <v>2279</v>
      </c>
      <c r="O877" s="190" t="str">
        <f>"["&amp;$C877&amp;"]["&amp;$D877&amp;"]["&amp;$F877&amp;"]"</f>
        <v>[S05_AircraftMethodFuelConsumption][1][CountAircraftOperators]</v>
      </c>
    </row>
    <row r="878" spans="1:15" x14ac:dyDescent="0.3">
      <c r="A878" t="s">
        <v>2277</v>
      </c>
      <c r="B878" t="s">
        <v>1928</v>
      </c>
      <c r="C878" t="s">
        <v>1929</v>
      </c>
      <c r="D878">
        <v>2</v>
      </c>
      <c r="E878" t="s">
        <v>1447</v>
      </c>
      <c r="F878" t="s">
        <v>1930</v>
      </c>
      <c r="G878" t="s">
        <v>1748</v>
      </c>
      <c r="H878" t="s">
        <v>2279</v>
      </c>
      <c r="I878">
        <v>2</v>
      </c>
      <c r="J878" t="s">
        <v>2279</v>
      </c>
      <c r="K878" t="s">
        <v>2279</v>
      </c>
      <c r="L878" t="s">
        <v>2279</v>
      </c>
      <c r="M878" t="s">
        <v>2279</v>
      </c>
      <c r="N878" t="s">
        <v>2279</v>
      </c>
      <c r="O878" s="190" t="str">
        <f>"["&amp;$C878&amp;"]["&amp;$D878&amp;"]["&amp;$F878&amp;"]"</f>
        <v>[S05_AircraftMethodFuelConsumption][2][CountAircraftOperators]</v>
      </c>
    </row>
    <row r="879" spans="1:15" x14ac:dyDescent="0.3">
      <c r="A879" t="s">
        <v>2277</v>
      </c>
      <c r="B879" t="s">
        <v>1928</v>
      </c>
      <c r="C879" t="s">
        <v>1929</v>
      </c>
      <c r="D879">
        <v>3</v>
      </c>
      <c r="E879" t="s">
        <v>1447</v>
      </c>
      <c r="F879" t="s">
        <v>1930</v>
      </c>
      <c r="G879" t="s">
        <v>1748</v>
      </c>
      <c r="H879" t="s">
        <v>2279</v>
      </c>
      <c r="I879">
        <v>0</v>
      </c>
      <c r="J879" t="s">
        <v>2279</v>
      </c>
      <c r="K879" t="s">
        <v>2279</v>
      </c>
      <c r="L879" t="s">
        <v>2279</v>
      </c>
      <c r="M879" t="s">
        <v>2279</v>
      </c>
      <c r="N879" t="s">
        <v>2279</v>
      </c>
      <c r="O879" s="190" t="str">
        <f>"["&amp;$C879&amp;"]["&amp;$D879&amp;"]["&amp;$F879&amp;"]"</f>
        <v>[S05_AircraftMethodFuelConsumption][3][CountAircraftOperators]</v>
      </c>
    </row>
    <row r="880" spans="1:15" x14ac:dyDescent="0.3">
      <c r="A880" t="s">
        <v>2277</v>
      </c>
      <c r="B880" t="s">
        <v>1928</v>
      </c>
      <c r="C880" t="s">
        <v>1929</v>
      </c>
      <c r="D880">
        <v>1</v>
      </c>
      <c r="E880" t="s">
        <v>1447</v>
      </c>
      <c r="F880" t="s">
        <v>1931</v>
      </c>
      <c r="G880" t="s">
        <v>1806</v>
      </c>
      <c r="H880" t="s">
        <v>2279</v>
      </c>
      <c r="I880" t="s">
        <v>2279</v>
      </c>
      <c r="J880">
        <v>0</v>
      </c>
      <c r="K880" t="s">
        <v>2279</v>
      </c>
      <c r="L880" t="s">
        <v>2279</v>
      </c>
      <c r="M880" t="s">
        <v>2279</v>
      </c>
      <c r="N880" t="s">
        <v>2279</v>
      </c>
      <c r="O880" s="190" t="str">
        <f>"["&amp;$C880&amp;"]["&amp;$D880&amp;"]["&amp;$F880&amp;"]"</f>
        <v>[S05_AircraftMethodFuelConsumption][1][SmallEmittersShare]</v>
      </c>
    </row>
    <row r="881" spans="1:15" x14ac:dyDescent="0.3">
      <c r="A881" t="s">
        <v>2277</v>
      </c>
      <c r="B881" t="s">
        <v>1928</v>
      </c>
      <c r="C881" t="s">
        <v>1929</v>
      </c>
      <c r="D881">
        <v>2</v>
      </c>
      <c r="E881" t="s">
        <v>1447</v>
      </c>
      <c r="F881" t="s">
        <v>1931</v>
      </c>
      <c r="G881" t="s">
        <v>1806</v>
      </c>
      <c r="H881" t="s">
        <v>2279</v>
      </c>
      <c r="I881" t="s">
        <v>2279</v>
      </c>
      <c r="J881">
        <v>0</v>
      </c>
      <c r="K881" t="s">
        <v>2279</v>
      </c>
      <c r="L881" t="s">
        <v>2279</v>
      </c>
      <c r="M881" t="s">
        <v>2279</v>
      </c>
      <c r="N881" t="s">
        <v>2279</v>
      </c>
      <c r="O881" s="190" t="str">
        <f>"["&amp;$C881&amp;"]["&amp;$D881&amp;"]["&amp;$F881&amp;"]"</f>
        <v>[S05_AircraftMethodFuelConsumption][2][SmallEmittersShare]</v>
      </c>
    </row>
    <row r="882" spans="1:15" x14ac:dyDescent="0.3">
      <c r="A882" t="s">
        <v>2277</v>
      </c>
      <c r="B882" t="s">
        <v>1928</v>
      </c>
      <c r="C882" t="s">
        <v>1929</v>
      </c>
      <c r="D882">
        <v>3</v>
      </c>
      <c r="E882" t="s">
        <v>1447</v>
      </c>
      <c r="F882" t="s">
        <v>1931</v>
      </c>
      <c r="G882" t="s">
        <v>1806</v>
      </c>
      <c r="H882" t="s">
        <v>2279</v>
      </c>
      <c r="I882" t="s">
        <v>2279</v>
      </c>
      <c r="J882">
        <v>0</v>
      </c>
      <c r="K882" t="s">
        <v>2279</v>
      </c>
      <c r="L882" t="s">
        <v>2279</v>
      </c>
      <c r="M882" t="s">
        <v>2279</v>
      </c>
      <c r="N882" t="s">
        <v>2279</v>
      </c>
      <c r="O882" s="190" t="str">
        <f>"["&amp;$C882&amp;"]["&amp;$D882&amp;"]["&amp;$F882&amp;"]"</f>
        <v>[S05_AircraftMethodFuelConsumption][3][SmallEmittersShare]</v>
      </c>
    </row>
    <row r="883" spans="1:15" x14ac:dyDescent="0.3">
      <c r="A883" t="s">
        <v>2277</v>
      </c>
      <c r="B883" t="s">
        <v>1932</v>
      </c>
      <c r="C883" t="s">
        <v>1933</v>
      </c>
      <c r="D883">
        <v>1</v>
      </c>
      <c r="E883" t="s">
        <v>1447</v>
      </c>
      <c r="F883" t="s">
        <v>1934</v>
      </c>
      <c r="G883" t="s">
        <v>1806</v>
      </c>
      <c r="H883" t="s">
        <v>2279</v>
      </c>
      <c r="I883" t="s">
        <v>2279</v>
      </c>
      <c r="J883">
        <v>164326</v>
      </c>
      <c r="K883" t="s">
        <v>2279</v>
      </c>
      <c r="L883" t="s">
        <v>2279</v>
      </c>
      <c r="M883" t="s">
        <v>2279</v>
      </c>
      <c r="N883" t="s">
        <v>2279</v>
      </c>
      <c r="O883" s="190" t="str">
        <f>"["&amp;$C883&amp;"]["&amp;$D883&amp;"]["&amp;$F883&amp;"]"</f>
        <v>[S05_TotalFlightEmissions][1][TotalFlightEmissions]</v>
      </c>
    </row>
    <row r="884" spans="1:15" x14ac:dyDescent="0.3">
      <c r="A884" t="s">
        <v>2277</v>
      </c>
      <c r="B884" t="s">
        <v>1932</v>
      </c>
      <c r="C884" t="s">
        <v>1933</v>
      </c>
      <c r="D884">
        <v>2</v>
      </c>
      <c r="E884" t="s">
        <v>1447</v>
      </c>
      <c r="F884" t="s">
        <v>1934</v>
      </c>
      <c r="G884" t="s">
        <v>1806</v>
      </c>
      <c r="H884" t="s">
        <v>2279</v>
      </c>
      <c r="I884" t="s">
        <v>2279</v>
      </c>
      <c r="J884">
        <v>3621</v>
      </c>
      <c r="K884" t="s">
        <v>2279</v>
      </c>
      <c r="L884" t="s">
        <v>2279</v>
      </c>
      <c r="M884" t="s">
        <v>2279</v>
      </c>
      <c r="N884" t="s">
        <v>2279</v>
      </c>
      <c r="O884" s="190" t="str">
        <f>"["&amp;$C884&amp;"]["&amp;$D884&amp;"]["&amp;$F884&amp;"]"</f>
        <v>[S05_TotalFlightEmissions][2][TotalFlightEmissions]</v>
      </c>
    </row>
    <row r="885" spans="1:15" x14ac:dyDescent="0.3">
      <c r="A885" t="s">
        <v>2277</v>
      </c>
      <c r="B885" t="s">
        <v>1932</v>
      </c>
      <c r="C885" t="s">
        <v>1933</v>
      </c>
      <c r="D885">
        <v>3</v>
      </c>
      <c r="E885" t="s">
        <v>1447</v>
      </c>
      <c r="F885" t="s">
        <v>1934</v>
      </c>
      <c r="G885" t="s">
        <v>1806</v>
      </c>
      <c r="H885" t="s">
        <v>2279</v>
      </c>
      <c r="I885" t="s">
        <v>2279</v>
      </c>
      <c r="J885">
        <v>372371</v>
      </c>
      <c r="K885" t="s">
        <v>2279</v>
      </c>
      <c r="L885" t="s">
        <v>2279</v>
      </c>
      <c r="M885" t="s">
        <v>2279</v>
      </c>
      <c r="N885" t="s">
        <v>2279</v>
      </c>
      <c r="O885" s="190" t="str">
        <f>"["&amp;$C885&amp;"]["&amp;$D885&amp;"]["&amp;$F885&amp;"]"</f>
        <v>[S05_TotalFlightEmissions][3][TotalFlightEmissions]</v>
      </c>
    </row>
    <row r="886" spans="1:15" x14ac:dyDescent="0.3">
      <c r="A886" t="s">
        <v>2277</v>
      </c>
      <c r="B886" t="s">
        <v>1932</v>
      </c>
      <c r="C886" t="s">
        <v>1933</v>
      </c>
      <c r="D886">
        <v>4</v>
      </c>
      <c r="E886" t="s">
        <v>1447</v>
      </c>
      <c r="F886" t="s">
        <v>1934</v>
      </c>
      <c r="G886" t="s">
        <v>1806</v>
      </c>
      <c r="H886" t="s">
        <v>2279</v>
      </c>
      <c r="I886" t="s">
        <v>2279</v>
      </c>
      <c r="J886">
        <v>0</v>
      </c>
      <c r="K886" t="s">
        <v>2279</v>
      </c>
      <c r="L886" t="s">
        <v>2279</v>
      </c>
      <c r="M886" t="s">
        <v>2279</v>
      </c>
      <c r="N886" t="s">
        <v>2279</v>
      </c>
      <c r="O886" s="190" t="str">
        <f>"["&amp;$C886&amp;"]["&amp;$D886&amp;"]["&amp;$F886&amp;"]"</f>
        <v>[S05_TotalFlightEmissions][4][TotalFlightEmissions]</v>
      </c>
    </row>
    <row r="887" spans="1:15" x14ac:dyDescent="0.3">
      <c r="A887" t="s">
        <v>2277</v>
      </c>
      <c r="B887" t="s">
        <v>1932</v>
      </c>
      <c r="C887" t="s">
        <v>1933</v>
      </c>
      <c r="D887">
        <v>5</v>
      </c>
      <c r="E887" t="s">
        <v>1447</v>
      </c>
      <c r="F887" t="s">
        <v>1934</v>
      </c>
      <c r="G887" t="s">
        <v>1806</v>
      </c>
      <c r="H887" t="s">
        <v>2279</v>
      </c>
      <c r="I887" t="s">
        <v>2279</v>
      </c>
      <c r="J887">
        <v>812</v>
      </c>
      <c r="K887" t="s">
        <v>2279</v>
      </c>
      <c r="L887" t="s">
        <v>2279</v>
      </c>
      <c r="M887" t="s">
        <v>2279</v>
      </c>
      <c r="N887" t="s">
        <v>2279</v>
      </c>
      <c r="O887" s="190" t="str">
        <f>"["&amp;$C887&amp;"]["&amp;$D887&amp;"]["&amp;$F887&amp;"]"</f>
        <v>[S05_TotalFlightEmissions][5][TotalFlightEmissions]</v>
      </c>
    </row>
    <row r="888" spans="1:15" x14ac:dyDescent="0.3">
      <c r="A888" t="s">
        <v>2277</v>
      </c>
      <c r="B888" t="s">
        <v>1932</v>
      </c>
      <c r="C888" t="s">
        <v>1935</v>
      </c>
      <c r="D888">
        <v>0</v>
      </c>
      <c r="E888" t="s">
        <v>1447</v>
      </c>
      <c r="F888" t="s">
        <v>1935</v>
      </c>
      <c r="G888" t="s">
        <v>1748</v>
      </c>
      <c r="H888" t="s">
        <v>2279</v>
      </c>
      <c r="I888">
        <v>4</v>
      </c>
      <c r="J888" t="s">
        <v>2279</v>
      </c>
      <c r="K888" t="s">
        <v>2279</v>
      </c>
      <c r="L888" t="s">
        <v>2279</v>
      </c>
      <c r="M888" t="s">
        <v>2279</v>
      </c>
      <c r="N888" t="s">
        <v>2279</v>
      </c>
      <c r="O888" s="190" t="str">
        <f>"["&amp;$C888&amp;"]["&amp;$D888&amp;"]["&amp;$F888&amp;"]"</f>
        <v>[CountOperatorsThirdCountries][0][CountOperatorsThirdCountries]</v>
      </c>
    </row>
    <row r="889" spans="1:15" x14ac:dyDescent="0.3">
      <c r="A889" t="s">
        <v>2277</v>
      </c>
      <c r="B889" t="s">
        <v>1936</v>
      </c>
      <c r="C889" t="s">
        <v>1937</v>
      </c>
      <c r="D889">
        <v>0</v>
      </c>
      <c r="E889" t="s">
        <v>1447</v>
      </c>
      <c r="F889" t="s">
        <v>1937</v>
      </c>
      <c r="G889" t="s">
        <v>1748</v>
      </c>
      <c r="H889" t="s">
        <v>2279</v>
      </c>
      <c r="I889">
        <v>0</v>
      </c>
      <c r="J889" t="s">
        <v>2279</v>
      </c>
      <c r="K889" t="s">
        <v>2279</v>
      </c>
      <c r="L889" t="s">
        <v>2279</v>
      </c>
      <c r="M889" t="s">
        <v>2279</v>
      </c>
      <c r="N889" t="s">
        <v>2279</v>
      </c>
      <c r="O889" s="190" t="str">
        <f>"["&amp;$C889&amp;"]["&amp;$D889&amp;"]["&amp;$F889&amp;"]"</f>
        <v>[CountOperatorsUsingBiofuels][0][CountOperatorsUsingBiofuels]</v>
      </c>
    </row>
    <row r="890" spans="1:15" x14ac:dyDescent="0.3">
      <c r="A890" t="s">
        <v>2277</v>
      </c>
      <c r="B890" t="s">
        <v>1936</v>
      </c>
      <c r="C890" t="s">
        <v>1938</v>
      </c>
      <c r="D890">
        <v>0</v>
      </c>
      <c r="E890" t="s">
        <v>1447</v>
      </c>
      <c r="F890" t="s">
        <v>1938</v>
      </c>
      <c r="G890" t="s">
        <v>1806</v>
      </c>
      <c r="H890" t="s">
        <v>2279</v>
      </c>
      <c r="I890" t="s">
        <v>2279</v>
      </c>
      <c r="J890">
        <v>0</v>
      </c>
      <c r="K890" t="s">
        <v>2279</v>
      </c>
      <c r="L890" t="s">
        <v>2279</v>
      </c>
      <c r="M890" t="s">
        <v>2279</v>
      </c>
      <c r="N890" t="s">
        <v>2279</v>
      </c>
      <c r="O890" s="190" t="str">
        <f>"["&amp;$C890&amp;"]["&amp;$D890&amp;"]["&amp;$F890&amp;"]"</f>
        <v>[EmissionsBiofuelsSustainabilitySatisfied][0][EmissionsBiofuelsSustainabilitySatisfied]</v>
      </c>
    </row>
    <row r="891" spans="1:15" x14ac:dyDescent="0.3">
      <c r="A891" t="s">
        <v>2277</v>
      </c>
      <c r="B891" t="s">
        <v>1936</v>
      </c>
      <c r="C891" t="s">
        <v>1939</v>
      </c>
      <c r="D891">
        <v>0</v>
      </c>
      <c r="E891" t="s">
        <v>1447</v>
      </c>
      <c r="F891" t="s">
        <v>1939</v>
      </c>
      <c r="G891" t="s">
        <v>1806</v>
      </c>
      <c r="H891" t="s">
        <v>2279</v>
      </c>
      <c r="I891" t="s">
        <v>2279</v>
      </c>
      <c r="J891">
        <v>0</v>
      </c>
      <c r="K891" t="s">
        <v>2279</v>
      </c>
      <c r="L891" t="s">
        <v>2279</v>
      </c>
      <c r="M891" t="s">
        <v>2279</v>
      </c>
      <c r="N891" t="s">
        <v>2279</v>
      </c>
      <c r="O891" s="190" t="str">
        <f>"["&amp;$C891&amp;"]["&amp;$D891&amp;"]["&amp;$F891&amp;"]"</f>
        <v>[EmissionsBiofuelsSustainabilityNotSatisfied][0][EmissionsBiofuelsSustainabilityNotSatisfied]</v>
      </c>
    </row>
    <row r="892" spans="1:15" x14ac:dyDescent="0.3">
      <c r="A892" t="s">
        <v>2277</v>
      </c>
      <c r="B892" t="s">
        <v>1940</v>
      </c>
      <c r="C892" t="s">
        <v>1941</v>
      </c>
      <c r="D892">
        <v>1</v>
      </c>
      <c r="E892" t="s">
        <v>1447</v>
      </c>
      <c r="F892" t="s">
        <v>1942</v>
      </c>
      <c r="G892" t="s">
        <v>1748</v>
      </c>
      <c r="H892" t="s">
        <v>2279</v>
      </c>
      <c r="I892">
        <v>2</v>
      </c>
      <c r="J892" t="s">
        <v>2279</v>
      </c>
      <c r="K892" t="s">
        <v>2279</v>
      </c>
      <c r="L892" t="s">
        <v>2279</v>
      </c>
      <c r="M892" t="s">
        <v>2279</v>
      </c>
      <c r="N892" t="s">
        <v>2279</v>
      </c>
      <c r="O892" s="190" t="str">
        <f>"["&amp;$C892&amp;"]["&amp;$D892&amp;"]["&amp;$F892&amp;"]"</f>
        <v>[S05_SmallEmittersTool][1][CountSmallEmitters]</v>
      </c>
    </row>
    <row r="893" spans="1:15" x14ac:dyDescent="0.3">
      <c r="A893" t="s">
        <v>2277</v>
      </c>
      <c r="B893" t="s">
        <v>1940</v>
      </c>
      <c r="C893" t="s">
        <v>1941</v>
      </c>
      <c r="D893">
        <v>2</v>
      </c>
      <c r="E893" t="s">
        <v>1447</v>
      </c>
      <c r="F893" t="s">
        <v>1942</v>
      </c>
      <c r="G893" t="s">
        <v>1748</v>
      </c>
      <c r="H893" t="s">
        <v>2279</v>
      </c>
      <c r="I893">
        <v>3</v>
      </c>
      <c r="J893" t="s">
        <v>2279</v>
      </c>
      <c r="K893" t="s">
        <v>2279</v>
      </c>
      <c r="L893" t="s">
        <v>2279</v>
      </c>
      <c r="M893" t="s">
        <v>2279</v>
      </c>
      <c r="N893" t="s">
        <v>2279</v>
      </c>
      <c r="O893" s="190" t="str">
        <f>"["&amp;$C893&amp;"]["&amp;$D893&amp;"]["&amp;$F893&amp;"]"</f>
        <v>[S05_SmallEmittersTool][2][CountSmallEmitters]</v>
      </c>
    </row>
    <row r="894" spans="1:15" x14ac:dyDescent="0.3">
      <c r="A894" t="s">
        <v>2277</v>
      </c>
      <c r="B894" t="s">
        <v>1940</v>
      </c>
      <c r="C894" t="s">
        <v>1941</v>
      </c>
      <c r="D894">
        <v>3</v>
      </c>
      <c r="E894" t="s">
        <v>1447</v>
      </c>
      <c r="F894" t="s">
        <v>1942</v>
      </c>
      <c r="G894" t="s">
        <v>1748</v>
      </c>
      <c r="H894" t="s">
        <v>2279</v>
      </c>
      <c r="I894">
        <v>0</v>
      </c>
      <c r="J894" t="s">
        <v>2279</v>
      </c>
      <c r="K894" t="s">
        <v>2279</v>
      </c>
      <c r="L894" t="s">
        <v>2279</v>
      </c>
      <c r="M894" t="s">
        <v>2279</v>
      </c>
      <c r="N894" t="s">
        <v>2279</v>
      </c>
      <c r="O894" s="190" t="str">
        <f>"["&amp;$C894&amp;"]["&amp;$D894&amp;"]["&amp;$F894&amp;"]"</f>
        <v>[S05_SmallEmittersTool][3][CountSmallEmitters]</v>
      </c>
    </row>
    <row r="895" spans="1:15" x14ac:dyDescent="0.3">
      <c r="A895" t="s">
        <v>2277</v>
      </c>
      <c r="B895" t="s">
        <v>1940</v>
      </c>
      <c r="C895" t="s">
        <v>1941</v>
      </c>
      <c r="D895">
        <v>4</v>
      </c>
      <c r="E895" t="s">
        <v>1447</v>
      </c>
      <c r="F895" t="s">
        <v>1942</v>
      </c>
      <c r="G895" t="s">
        <v>1748</v>
      </c>
      <c r="H895" t="s">
        <v>2279</v>
      </c>
      <c r="I895">
        <v>4</v>
      </c>
      <c r="J895" t="s">
        <v>2279</v>
      </c>
      <c r="K895" t="s">
        <v>2279</v>
      </c>
      <c r="L895" t="s">
        <v>2279</v>
      </c>
      <c r="M895" t="s">
        <v>2279</v>
      </c>
      <c r="N895" t="s">
        <v>2279</v>
      </c>
      <c r="O895" s="190" t="str">
        <f>"["&amp;$C895&amp;"]["&amp;$D895&amp;"]["&amp;$F895&amp;"]"</f>
        <v>[S05_SmallEmittersTool][4][CountSmallEmitters]</v>
      </c>
    </row>
    <row r="896" spans="1:15" x14ac:dyDescent="0.3">
      <c r="A896" t="s">
        <v>2277</v>
      </c>
      <c r="B896" t="s">
        <v>1943</v>
      </c>
      <c r="C896" t="s">
        <v>1944</v>
      </c>
      <c r="D896">
        <v>0</v>
      </c>
      <c r="E896" t="s">
        <v>1447</v>
      </c>
      <c r="F896" t="s">
        <v>1944</v>
      </c>
      <c r="G896" t="s">
        <v>1748</v>
      </c>
      <c r="H896" t="s">
        <v>2279</v>
      </c>
      <c r="I896">
        <v>0</v>
      </c>
      <c r="J896" t="s">
        <v>2279</v>
      </c>
      <c r="K896" t="s">
        <v>2279</v>
      </c>
      <c r="L896" t="s">
        <v>2279</v>
      </c>
      <c r="M896" t="s">
        <v>2279</v>
      </c>
      <c r="N896" t="s">
        <v>2279</v>
      </c>
      <c r="O896" s="190" t="str">
        <f>"["&amp;$C896&amp;"]["&amp;$D896&amp;"]["&amp;$F896&amp;"]"</f>
        <v>[AircraftImprovementReportRequired][0][AircraftImprovementReportRequired]</v>
      </c>
    </row>
    <row r="897" spans="1:15" x14ac:dyDescent="0.3">
      <c r="A897" t="s">
        <v>2277</v>
      </c>
      <c r="B897" t="s">
        <v>1943</v>
      </c>
      <c r="C897" t="s">
        <v>1945</v>
      </c>
      <c r="D897">
        <v>0</v>
      </c>
      <c r="E897" t="s">
        <v>1447</v>
      </c>
      <c r="F897" t="s">
        <v>1945</v>
      </c>
      <c r="G897" t="s">
        <v>1748</v>
      </c>
      <c r="H897" t="s">
        <v>2279</v>
      </c>
      <c r="I897">
        <v>0</v>
      </c>
      <c r="J897" t="s">
        <v>2279</v>
      </c>
      <c r="K897" t="s">
        <v>2279</v>
      </c>
      <c r="L897" t="s">
        <v>2279</v>
      </c>
      <c r="M897" t="s">
        <v>2279</v>
      </c>
      <c r="N897" t="s">
        <v>2279</v>
      </c>
      <c r="O897" s="190" t="str">
        <f>"["&amp;$C897&amp;"]["&amp;$D897&amp;"]["&amp;$F897&amp;"]"</f>
        <v>[AircraftImprovementReportSubmitted][0][AircraftImprovementReportSubmitted]</v>
      </c>
    </row>
    <row r="898" spans="1:15" x14ac:dyDescent="0.3">
      <c r="A898" t="s">
        <v>2277</v>
      </c>
      <c r="B898" t="s">
        <v>1946</v>
      </c>
      <c r="C898" t="s">
        <v>1947</v>
      </c>
      <c r="D898">
        <v>0</v>
      </c>
      <c r="E898" t="s">
        <v>1447</v>
      </c>
      <c r="F898" t="s">
        <v>1947</v>
      </c>
      <c r="G898" t="s">
        <v>1759</v>
      </c>
      <c r="H898" t="s">
        <v>2279</v>
      </c>
      <c r="I898" t="s">
        <v>2279</v>
      </c>
      <c r="J898" t="s">
        <v>2279</v>
      </c>
      <c r="K898" t="s">
        <v>2279</v>
      </c>
      <c r="L898" t="s">
        <v>1447</v>
      </c>
      <c r="M898" t="s">
        <v>2279</v>
      </c>
      <c r="N898" t="s">
        <v>2279</v>
      </c>
      <c r="O898" s="190" t="str">
        <f>"["&amp;$C898&amp;"]["&amp;$D898&amp;"]["&amp;$F898&amp;"]"</f>
        <v>[AircraftSimplifiedMonitoringArt13][0][AircraftSimplifiedMonitoringArt13]</v>
      </c>
    </row>
    <row r="899" spans="1:15" x14ac:dyDescent="0.3">
      <c r="A899" t="s">
        <v>2277</v>
      </c>
      <c r="B899" t="s">
        <v>1951</v>
      </c>
      <c r="C899" t="s">
        <v>1952</v>
      </c>
      <c r="D899">
        <v>1</v>
      </c>
      <c r="E899" t="s">
        <v>1447</v>
      </c>
      <c r="F899" t="s">
        <v>1953</v>
      </c>
      <c r="G899" t="s">
        <v>1748</v>
      </c>
      <c r="H899" t="s">
        <v>2279</v>
      </c>
      <c r="I899">
        <v>5</v>
      </c>
      <c r="J899" t="s">
        <v>2279</v>
      </c>
      <c r="K899" t="s">
        <v>2279</v>
      </c>
      <c r="L899" t="s">
        <v>2279</v>
      </c>
      <c r="M899" t="s">
        <v>2279</v>
      </c>
      <c r="N899" t="s">
        <v>2279</v>
      </c>
      <c r="O899" s="190" t="str">
        <f>"["&amp;$C899&amp;"]["&amp;$D899&amp;"]["&amp;$F899&amp;"]"</f>
        <v>[S06_TotalVerifiers][1][CountVerifiersInstallations]</v>
      </c>
    </row>
    <row r="900" spans="1:15" x14ac:dyDescent="0.3">
      <c r="A900" t="s">
        <v>2277</v>
      </c>
      <c r="B900" t="s">
        <v>1951</v>
      </c>
      <c r="C900" t="s">
        <v>1952</v>
      </c>
      <c r="D900">
        <v>2</v>
      </c>
      <c r="E900" t="s">
        <v>1447</v>
      </c>
      <c r="F900" t="s">
        <v>1953</v>
      </c>
      <c r="G900" t="s">
        <v>1748</v>
      </c>
      <c r="H900" t="s">
        <v>2279</v>
      </c>
      <c r="I900">
        <v>0</v>
      </c>
      <c r="J900" t="s">
        <v>2279</v>
      </c>
      <c r="K900" t="s">
        <v>2279</v>
      </c>
      <c r="L900" t="s">
        <v>2279</v>
      </c>
      <c r="M900" t="s">
        <v>2279</v>
      </c>
      <c r="N900" t="s">
        <v>2279</v>
      </c>
      <c r="O900" s="190" t="str">
        <f>"["&amp;$C900&amp;"]["&amp;$D900&amp;"]["&amp;$F900&amp;"]"</f>
        <v>[S06_TotalVerifiers][2][CountVerifiersInstallations]</v>
      </c>
    </row>
    <row r="901" spans="1:15" x14ac:dyDescent="0.3">
      <c r="A901" t="s">
        <v>2277</v>
      </c>
      <c r="B901" t="s">
        <v>1951</v>
      </c>
      <c r="C901" t="s">
        <v>1952</v>
      </c>
      <c r="D901">
        <v>3</v>
      </c>
      <c r="E901" t="s">
        <v>1447</v>
      </c>
      <c r="F901" t="s">
        <v>1953</v>
      </c>
      <c r="G901" t="s">
        <v>1748</v>
      </c>
      <c r="H901" t="s">
        <v>2279</v>
      </c>
      <c r="I901">
        <v>1</v>
      </c>
      <c r="J901" t="s">
        <v>2279</v>
      </c>
      <c r="K901" t="s">
        <v>2279</v>
      </c>
      <c r="L901" t="s">
        <v>2279</v>
      </c>
      <c r="M901" t="s">
        <v>2279</v>
      </c>
      <c r="N901" t="s">
        <v>2279</v>
      </c>
      <c r="O901" s="190" t="str">
        <f>"["&amp;$C901&amp;"]["&amp;$D901&amp;"]["&amp;$F901&amp;"]"</f>
        <v>[S06_TotalVerifiers][3][CountVerifiersInstallations]</v>
      </c>
    </row>
    <row r="902" spans="1:15" x14ac:dyDescent="0.3">
      <c r="A902" t="s">
        <v>2277</v>
      </c>
      <c r="B902" t="s">
        <v>1951</v>
      </c>
      <c r="C902" t="s">
        <v>1952</v>
      </c>
      <c r="D902">
        <v>4</v>
      </c>
      <c r="E902" t="s">
        <v>1447</v>
      </c>
      <c r="F902" t="s">
        <v>1953</v>
      </c>
      <c r="G902" t="s">
        <v>1748</v>
      </c>
      <c r="H902" t="s">
        <v>2279</v>
      </c>
      <c r="I902">
        <v>0</v>
      </c>
      <c r="J902" t="s">
        <v>2279</v>
      </c>
      <c r="K902" t="s">
        <v>2279</v>
      </c>
      <c r="L902" t="s">
        <v>2279</v>
      </c>
      <c r="M902" t="s">
        <v>2279</v>
      </c>
      <c r="N902" t="s">
        <v>2279</v>
      </c>
      <c r="O902" s="190" t="str">
        <f>"["&amp;$C902&amp;"]["&amp;$D902&amp;"]["&amp;$F902&amp;"]"</f>
        <v>[S06_TotalVerifiers][4][CountVerifiersInstallations]</v>
      </c>
    </row>
    <row r="903" spans="1:15" x14ac:dyDescent="0.3">
      <c r="A903" t="s">
        <v>2277</v>
      </c>
      <c r="B903" t="s">
        <v>1951</v>
      </c>
      <c r="C903" t="s">
        <v>1952</v>
      </c>
      <c r="D903">
        <v>4</v>
      </c>
      <c r="E903" t="s">
        <v>1447</v>
      </c>
      <c r="F903" t="s">
        <v>1954</v>
      </c>
      <c r="G903" t="s">
        <v>1741</v>
      </c>
      <c r="H903" t="s">
        <v>2381</v>
      </c>
      <c r="I903" t="s">
        <v>2279</v>
      </c>
      <c r="J903" t="s">
        <v>2279</v>
      </c>
      <c r="K903" t="s">
        <v>2279</v>
      </c>
      <c r="L903" t="s">
        <v>2279</v>
      </c>
      <c r="M903" t="s">
        <v>2279</v>
      </c>
      <c r="N903" t="s">
        <v>2279</v>
      </c>
      <c r="O903" s="190" t="str">
        <f>"["&amp;$C903&amp;"]["&amp;$D903&amp;"]["&amp;$F903&amp;"]"</f>
        <v>[S06_TotalVerifiers][4][MSVerifiersInstallations]</v>
      </c>
    </row>
    <row r="904" spans="1:15" x14ac:dyDescent="0.3">
      <c r="A904" t="s">
        <v>2277</v>
      </c>
      <c r="B904" t="s">
        <v>1951</v>
      </c>
      <c r="C904" t="s">
        <v>1952</v>
      </c>
      <c r="D904">
        <v>1</v>
      </c>
      <c r="E904" t="s">
        <v>1447</v>
      </c>
      <c r="F904" t="s">
        <v>1955</v>
      </c>
      <c r="G904" t="s">
        <v>1748</v>
      </c>
      <c r="H904" t="s">
        <v>2279</v>
      </c>
      <c r="I904">
        <v>1</v>
      </c>
      <c r="J904" t="s">
        <v>2279</v>
      </c>
      <c r="K904" t="s">
        <v>2279</v>
      </c>
      <c r="L904" t="s">
        <v>2279</v>
      </c>
      <c r="M904" t="s">
        <v>2279</v>
      </c>
      <c r="N904" t="s">
        <v>2279</v>
      </c>
      <c r="O904" s="190" t="str">
        <f>"["&amp;$C904&amp;"]["&amp;$D904&amp;"]["&amp;$F904&amp;"]"</f>
        <v>[S06_TotalVerifiers][1][CountVerifiersAviation]</v>
      </c>
    </row>
    <row r="905" spans="1:15" x14ac:dyDescent="0.3">
      <c r="A905" t="s">
        <v>2277</v>
      </c>
      <c r="B905" t="s">
        <v>1951</v>
      </c>
      <c r="C905" t="s">
        <v>1952</v>
      </c>
      <c r="D905">
        <v>2</v>
      </c>
      <c r="E905" t="s">
        <v>1447</v>
      </c>
      <c r="F905" t="s">
        <v>1955</v>
      </c>
      <c r="G905" t="s">
        <v>1748</v>
      </c>
      <c r="H905" t="s">
        <v>2279</v>
      </c>
      <c r="I905">
        <v>0</v>
      </c>
      <c r="J905" t="s">
        <v>2279</v>
      </c>
      <c r="K905" t="s">
        <v>2279</v>
      </c>
      <c r="L905" t="s">
        <v>2279</v>
      </c>
      <c r="M905" t="s">
        <v>2279</v>
      </c>
      <c r="N905" t="s">
        <v>2279</v>
      </c>
      <c r="O905" s="190" t="str">
        <f>"["&amp;$C905&amp;"]["&amp;$D905&amp;"]["&amp;$F905&amp;"]"</f>
        <v>[S06_TotalVerifiers][2][CountVerifiersAviation]</v>
      </c>
    </row>
    <row r="906" spans="1:15" x14ac:dyDescent="0.3">
      <c r="A906" t="s">
        <v>2277</v>
      </c>
      <c r="B906" t="s">
        <v>1951</v>
      </c>
      <c r="C906" t="s">
        <v>1952</v>
      </c>
      <c r="D906">
        <v>3</v>
      </c>
      <c r="E906" t="s">
        <v>1447</v>
      </c>
      <c r="F906" t="s">
        <v>1955</v>
      </c>
      <c r="G906" t="s">
        <v>1748</v>
      </c>
      <c r="H906" t="s">
        <v>2279</v>
      </c>
      <c r="I906">
        <v>0</v>
      </c>
      <c r="J906" t="s">
        <v>2279</v>
      </c>
      <c r="K906" t="s">
        <v>2279</v>
      </c>
      <c r="L906" t="s">
        <v>2279</v>
      </c>
      <c r="M906" t="s">
        <v>2279</v>
      </c>
      <c r="N906" t="s">
        <v>2279</v>
      </c>
      <c r="O906" s="190" t="str">
        <f>"["&amp;$C906&amp;"]["&amp;$D906&amp;"]["&amp;$F906&amp;"]"</f>
        <v>[S06_TotalVerifiers][3][CountVerifiersAviation]</v>
      </c>
    </row>
    <row r="907" spans="1:15" x14ac:dyDescent="0.3">
      <c r="A907" t="s">
        <v>2277</v>
      </c>
      <c r="B907" t="s">
        <v>1951</v>
      </c>
      <c r="C907" t="s">
        <v>1952</v>
      </c>
      <c r="D907">
        <v>4</v>
      </c>
      <c r="E907" t="s">
        <v>1447</v>
      </c>
      <c r="F907" t="s">
        <v>1955</v>
      </c>
      <c r="G907" t="s">
        <v>1748</v>
      </c>
      <c r="H907" t="s">
        <v>2279</v>
      </c>
      <c r="I907">
        <v>0</v>
      </c>
      <c r="J907" t="s">
        <v>2279</v>
      </c>
      <c r="K907" t="s">
        <v>2279</v>
      </c>
      <c r="L907" t="s">
        <v>2279</v>
      </c>
      <c r="M907" t="s">
        <v>2279</v>
      </c>
      <c r="N907" t="s">
        <v>2279</v>
      </c>
      <c r="O907" s="190" t="str">
        <f>"["&amp;$C907&amp;"]["&amp;$D907&amp;"]["&amp;$F907&amp;"]"</f>
        <v>[S06_TotalVerifiers][4][CountVerifiersAviation]</v>
      </c>
    </row>
    <row r="908" spans="1:15" x14ac:dyDescent="0.3">
      <c r="A908" t="s">
        <v>2277</v>
      </c>
      <c r="B908" t="s">
        <v>1951</v>
      </c>
      <c r="C908" t="s">
        <v>1952</v>
      </c>
      <c r="D908">
        <v>4</v>
      </c>
      <c r="E908" t="s">
        <v>1447</v>
      </c>
      <c r="F908" t="s">
        <v>1956</v>
      </c>
      <c r="G908" t="s">
        <v>1741</v>
      </c>
      <c r="H908" t="s">
        <v>2381</v>
      </c>
      <c r="I908" t="s">
        <v>2279</v>
      </c>
      <c r="J908" t="s">
        <v>2279</v>
      </c>
      <c r="K908" t="s">
        <v>2279</v>
      </c>
      <c r="L908" t="s">
        <v>2279</v>
      </c>
      <c r="M908" t="s">
        <v>2279</v>
      </c>
      <c r="N908" t="s">
        <v>2279</v>
      </c>
      <c r="O908" s="190" t="str">
        <f>"["&amp;$C908&amp;"]["&amp;$D908&amp;"]["&amp;$F908&amp;"]"</f>
        <v>[S06_TotalVerifiers][4][MSVerifiersAviation]</v>
      </c>
    </row>
    <row r="909" spans="1:15" x14ac:dyDescent="0.3">
      <c r="A909" t="s">
        <v>2277</v>
      </c>
      <c r="B909" t="s">
        <v>1951</v>
      </c>
      <c r="C909" t="s">
        <v>1957</v>
      </c>
      <c r="D909">
        <v>1</v>
      </c>
      <c r="E909" t="s">
        <v>1447</v>
      </c>
      <c r="F909" t="s">
        <v>1958</v>
      </c>
      <c r="G909" t="s">
        <v>1737</v>
      </c>
      <c r="H909" t="s">
        <v>2279</v>
      </c>
      <c r="I909" t="s">
        <v>2279</v>
      </c>
      <c r="J909" t="s">
        <v>2279</v>
      </c>
      <c r="K909" t="s">
        <v>2279</v>
      </c>
      <c r="L909" t="s">
        <v>1436</v>
      </c>
      <c r="M909" t="s">
        <v>2279</v>
      </c>
      <c r="N909" t="s">
        <v>2279</v>
      </c>
      <c r="O909" s="190" t="str">
        <f>"["&amp;$C909&amp;"]["&amp;$D909&amp;"]["&amp;$F909&amp;"]"</f>
        <v>[S06_AccredCertVerifiersAnnexI][1][AccredCertScope]</v>
      </c>
    </row>
    <row r="910" spans="1:15" x14ac:dyDescent="0.3">
      <c r="A910" t="s">
        <v>2277</v>
      </c>
      <c r="B910" t="s">
        <v>1951</v>
      </c>
      <c r="C910" t="s">
        <v>1957</v>
      </c>
      <c r="D910">
        <v>2</v>
      </c>
      <c r="E910" t="s">
        <v>1447</v>
      </c>
      <c r="F910" t="s">
        <v>1958</v>
      </c>
      <c r="G910" t="s">
        <v>1737</v>
      </c>
      <c r="H910" t="s">
        <v>2279</v>
      </c>
      <c r="I910" t="s">
        <v>2279</v>
      </c>
      <c r="J910" t="s">
        <v>2279</v>
      </c>
      <c r="K910" t="s">
        <v>2279</v>
      </c>
      <c r="L910" t="s">
        <v>1465</v>
      </c>
      <c r="M910" t="s">
        <v>2279</v>
      </c>
      <c r="N910" t="s">
        <v>2279</v>
      </c>
      <c r="O910" s="190" t="str">
        <f>"["&amp;$C910&amp;"]["&amp;$D910&amp;"]["&amp;$F910&amp;"]"</f>
        <v>[S06_AccredCertVerifiersAnnexI][2][AccredCertScope]</v>
      </c>
    </row>
    <row r="911" spans="1:15" x14ac:dyDescent="0.3">
      <c r="A911" t="s">
        <v>2277</v>
      </c>
      <c r="B911" t="s">
        <v>1951</v>
      </c>
      <c r="C911" t="s">
        <v>1957</v>
      </c>
      <c r="D911">
        <v>3</v>
      </c>
      <c r="E911" t="s">
        <v>1447</v>
      </c>
      <c r="F911" t="s">
        <v>1958</v>
      </c>
      <c r="G911" t="s">
        <v>1737</v>
      </c>
      <c r="H911" t="s">
        <v>2279</v>
      </c>
      <c r="I911" t="s">
        <v>2279</v>
      </c>
      <c r="J911" t="s">
        <v>2279</v>
      </c>
      <c r="K911" t="s">
        <v>2279</v>
      </c>
      <c r="L911" t="s">
        <v>1490</v>
      </c>
      <c r="M911" t="s">
        <v>2279</v>
      </c>
      <c r="N911" t="s">
        <v>2279</v>
      </c>
      <c r="O911" s="190" t="str">
        <f>"["&amp;$C911&amp;"]["&amp;$D911&amp;"]["&amp;$F911&amp;"]"</f>
        <v>[S06_AccredCertVerifiersAnnexI][3][AccredCertScope]</v>
      </c>
    </row>
    <row r="912" spans="1:15" x14ac:dyDescent="0.3">
      <c r="A912" t="s">
        <v>2277</v>
      </c>
      <c r="B912" t="s">
        <v>1951</v>
      </c>
      <c r="C912" t="s">
        <v>1957</v>
      </c>
      <c r="D912">
        <v>4</v>
      </c>
      <c r="E912" t="s">
        <v>1447</v>
      </c>
      <c r="F912" t="s">
        <v>1958</v>
      </c>
      <c r="G912" t="s">
        <v>1737</v>
      </c>
      <c r="H912" t="s">
        <v>2279</v>
      </c>
      <c r="I912" t="s">
        <v>2279</v>
      </c>
      <c r="J912" t="s">
        <v>2279</v>
      </c>
      <c r="K912" t="s">
        <v>2279</v>
      </c>
      <c r="L912" t="s">
        <v>1510</v>
      </c>
      <c r="M912" t="s">
        <v>2279</v>
      </c>
      <c r="N912" t="s">
        <v>2279</v>
      </c>
      <c r="O912" s="190" t="str">
        <f>"["&amp;$C912&amp;"]["&amp;$D912&amp;"]["&amp;$F912&amp;"]"</f>
        <v>[S06_AccredCertVerifiersAnnexI][4][AccredCertScope]</v>
      </c>
    </row>
    <row r="913" spans="1:15" x14ac:dyDescent="0.3">
      <c r="A913" t="s">
        <v>2277</v>
      </c>
      <c r="B913" t="s">
        <v>1951</v>
      </c>
      <c r="C913" t="s">
        <v>1957</v>
      </c>
      <c r="D913">
        <v>5</v>
      </c>
      <c r="E913" t="s">
        <v>1447</v>
      </c>
      <c r="F913" t="s">
        <v>1958</v>
      </c>
      <c r="G913" t="s">
        <v>1737</v>
      </c>
      <c r="H913" t="s">
        <v>2279</v>
      </c>
      <c r="I913" t="s">
        <v>2279</v>
      </c>
      <c r="J913" t="s">
        <v>2279</v>
      </c>
      <c r="K913" t="s">
        <v>2279</v>
      </c>
      <c r="L913" t="s">
        <v>1523</v>
      </c>
      <c r="M913" t="s">
        <v>2279</v>
      </c>
      <c r="N913" t="s">
        <v>2279</v>
      </c>
      <c r="O913" s="190" t="str">
        <f>"["&amp;$C913&amp;"]["&amp;$D913&amp;"]["&amp;$F913&amp;"]"</f>
        <v>[S06_AccredCertVerifiersAnnexI][5][AccredCertScope]</v>
      </c>
    </row>
    <row r="914" spans="1:15" x14ac:dyDescent="0.3">
      <c r="A914" t="s">
        <v>2277</v>
      </c>
      <c r="B914" t="s">
        <v>1951</v>
      </c>
      <c r="C914" t="s">
        <v>1957</v>
      </c>
      <c r="D914">
        <v>6</v>
      </c>
      <c r="E914" t="s">
        <v>1447</v>
      </c>
      <c r="F914" t="s">
        <v>1958</v>
      </c>
      <c r="G914" t="s">
        <v>1737</v>
      </c>
      <c r="H914" t="s">
        <v>2279</v>
      </c>
      <c r="I914" t="s">
        <v>2279</v>
      </c>
      <c r="J914" t="s">
        <v>2279</v>
      </c>
      <c r="K914" t="s">
        <v>2279</v>
      </c>
      <c r="L914" t="s">
        <v>1535</v>
      </c>
      <c r="M914" t="s">
        <v>2279</v>
      </c>
      <c r="N914" t="s">
        <v>2279</v>
      </c>
      <c r="O914" s="190" t="str">
        <f>"["&amp;$C914&amp;"]["&amp;$D914&amp;"]["&amp;$F914&amp;"]"</f>
        <v>[S06_AccredCertVerifiersAnnexI][6][AccredCertScope]</v>
      </c>
    </row>
    <row r="915" spans="1:15" x14ac:dyDescent="0.3">
      <c r="A915" t="s">
        <v>2277</v>
      </c>
      <c r="B915" t="s">
        <v>1951</v>
      </c>
      <c r="C915" t="s">
        <v>1957</v>
      </c>
      <c r="D915">
        <v>7</v>
      </c>
      <c r="E915" t="s">
        <v>1447</v>
      </c>
      <c r="F915" t="s">
        <v>1958</v>
      </c>
      <c r="G915" t="s">
        <v>1737</v>
      </c>
      <c r="H915" t="s">
        <v>2279</v>
      </c>
      <c r="I915" t="s">
        <v>2279</v>
      </c>
      <c r="J915" t="s">
        <v>2279</v>
      </c>
      <c r="K915" t="s">
        <v>2279</v>
      </c>
      <c r="L915" t="s">
        <v>1545</v>
      </c>
      <c r="M915" t="s">
        <v>2279</v>
      </c>
      <c r="N915" t="s">
        <v>2279</v>
      </c>
      <c r="O915" s="190" t="str">
        <f>"["&amp;$C915&amp;"]["&amp;$D915&amp;"]["&amp;$F915&amp;"]"</f>
        <v>[S06_AccredCertVerifiersAnnexI][7][AccredCertScope]</v>
      </c>
    </row>
    <row r="916" spans="1:15" x14ac:dyDescent="0.3">
      <c r="A916" t="s">
        <v>2277</v>
      </c>
      <c r="B916" t="s">
        <v>1951</v>
      </c>
      <c r="C916" t="s">
        <v>1957</v>
      </c>
      <c r="D916">
        <v>8</v>
      </c>
      <c r="E916" t="s">
        <v>1447</v>
      </c>
      <c r="F916" t="s">
        <v>1958</v>
      </c>
      <c r="G916" t="s">
        <v>1737</v>
      </c>
      <c r="H916" t="s">
        <v>2279</v>
      </c>
      <c r="I916" t="s">
        <v>2279</v>
      </c>
      <c r="J916" t="s">
        <v>2279</v>
      </c>
      <c r="K916" t="s">
        <v>2279</v>
      </c>
      <c r="L916" t="s">
        <v>1545</v>
      </c>
      <c r="M916" t="s">
        <v>2279</v>
      </c>
      <c r="N916" t="s">
        <v>2279</v>
      </c>
      <c r="O916" s="190" t="str">
        <f>"["&amp;$C916&amp;"]["&amp;$D916&amp;"]["&amp;$F916&amp;"]"</f>
        <v>[S06_AccredCertVerifiersAnnexI][8][AccredCertScope]</v>
      </c>
    </row>
    <row r="917" spans="1:15" x14ac:dyDescent="0.3">
      <c r="A917" t="s">
        <v>2277</v>
      </c>
      <c r="B917" t="s">
        <v>1951</v>
      </c>
      <c r="C917" t="s">
        <v>1957</v>
      </c>
      <c r="D917">
        <v>9</v>
      </c>
      <c r="E917" t="s">
        <v>1447</v>
      </c>
      <c r="F917" t="s">
        <v>1958</v>
      </c>
      <c r="G917" t="s">
        <v>1737</v>
      </c>
      <c r="H917" t="s">
        <v>2279</v>
      </c>
      <c r="I917" t="s">
        <v>2279</v>
      </c>
      <c r="J917" t="s">
        <v>2279</v>
      </c>
      <c r="K917" t="s">
        <v>2279</v>
      </c>
      <c r="L917" t="s">
        <v>1561</v>
      </c>
      <c r="M917" t="s">
        <v>2279</v>
      </c>
      <c r="N917" t="s">
        <v>2279</v>
      </c>
      <c r="O917" s="190" t="str">
        <f>"["&amp;$C917&amp;"]["&amp;$D917&amp;"]["&amp;$F917&amp;"]"</f>
        <v>[S06_AccredCertVerifiersAnnexI][9][AccredCertScope]</v>
      </c>
    </row>
    <row r="918" spans="1:15" x14ac:dyDescent="0.3">
      <c r="A918" t="s">
        <v>2277</v>
      </c>
      <c r="B918" t="s">
        <v>1951</v>
      </c>
      <c r="C918" t="s">
        <v>1957</v>
      </c>
      <c r="D918">
        <v>10</v>
      </c>
      <c r="E918" t="s">
        <v>1447</v>
      </c>
      <c r="F918" t="s">
        <v>1958</v>
      </c>
      <c r="G918" t="s">
        <v>1737</v>
      </c>
      <c r="H918" t="s">
        <v>2279</v>
      </c>
      <c r="I918" t="s">
        <v>2279</v>
      </c>
      <c r="J918" t="s">
        <v>2279</v>
      </c>
      <c r="K918" t="s">
        <v>2279</v>
      </c>
      <c r="L918" t="s">
        <v>1571</v>
      </c>
      <c r="M918" t="s">
        <v>2279</v>
      </c>
      <c r="N918" t="s">
        <v>2279</v>
      </c>
      <c r="O918" s="190" t="str">
        <f>"["&amp;$C918&amp;"]["&amp;$D918&amp;"]["&amp;$F918&amp;"]"</f>
        <v>[S06_AccredCertVerifiersAnnexI][10][AccredCertScope]</v>
      </c>
    </row>
    <row r="919" spans="1:15" x14ac:dyDescent="0.3">
      <c r="A919" t="s">
        <v>2277</v>
      </c>
      <c r="B919" t="s">
        <v>1951</v>
      </c>
      <c r="C919" t="s">
        <v>1957</v>
      </c>
      <c r="D919">
        <v>11</v>
      </c>
      <c r="E919" t="s">
        <v>1447</v>
      </c>
      <c r="F919" t="s">
        <v>1958</v>
      </c>
      <c r="G919" t="s">
        <v>1737</v>
      </c>
      <c r="H919" t="s">
        <v>2279</v>
      </c>
      <c r="I919" t="s">
        <v>2279</v>
      </c>
      <c r="J919" t="s">
        <v>2279</v>
      </c>
      <c r="K919" t="s">
        <v>2279</v>
      </c>
      <c r="L919" t="s">
        <v>1576</v>
      </c>
      <c r="M919" t="s">
        <v>2279</v>
      </c>
      <c r="N919" t="s">
        <v>2279</v>
      </c>
      <c r="O919" s="190" t="str">
        <f>"["&amp;$C919&amp;"]["&amp;$D919&amp;"]["&amp;$F919&amp;"]"</f>
        <v>[S06_AccredCertVerifiersAnnexI][11][AccredCertScope]</v>
      </c>
    </row>
    <row r="920" spans="1:15" x14ac:dyDescent="0.3">
      <c r="A920" t="s">
        <v>2277</v>
      </c>
      <c r="B920" t="s">
        <v>1951</v>
      </c>
      <c r="C920" t="s">
        <v>1957</v>
      </c>
      <c r="D920">
        <v>12</v>
      </c>
      <c r="E920" t="s">
        <v>1447</v>
      </c>
      <c r="F920" t="s">
        <v>1958</v>
      </c>
      <c r="G920" t="s">
        <v>1737</v>
      </c>
      <c r="H920" t="s">
        <v>2279</v>
      </c>
      <c r="I920" t="s">
        <v>2279</v>
      </c>
      <c r="J920" t="s">
        <v>2279</v>
      </c>
      <c r="K920" t="s">
        <v>2279</v>
      </c>
      <c r="L920" t="s">
        <v>1580</v>
      </c>
      <c r="M920" t="s">
        <v>2279</v>
      </c>
      <c r="N920" t="s">
        <v>2279</v>
      </c>
      <c r="O920" s="190" t="str">
        <f>"["&amp;$C920&amp;"]["&amp;$D920&amp;"]["&amp;$F920&amp;"]"</f>
        <v>[S06_AccredCertVerifiersAnnexI][12][AccredCertScope]</v>
      </c>
    </row>
    <row r="921" spans="1:15" x14ac:dyDescent="0.3">
      <c r="A921" t="s">
        <v>2277</v>
      </c>
      <c r="B921" t="s">
        <v>1951</v>
      </c>
      <c r="C921" t="s">
        <v>1957</v>
      </c>
      <c r="D921">
        <v>13</v>
      </c>
      <c r="E921" t="s">
        <v>1447</v>
      </c>
      <c r="F921" t="s">
        <v>1958</v>
      </c>
      <c r="G921" t="s">
        <v>1737</v>
      </c>
      <c r="H921" t="s">
        <v>2279</v>
      </c>
      <c r="I921" t="s">
        <v>2279</v>
      </c>
      <c r="J921" t="s">
        <v>2279</v>
      </c>
      <c r="K921" t="s">
        <v>2279</v>
      </c>
      <c r="L921" t="s">
        <v>1585</v>
      </c>
      <c r="M921" t="s">
        <v>2279</v>
      </c>
      <c r="N921" t="s">
        <v>2279</v>
      </c>
      <c r="O921" s="190" t="str">
        <f>"["&amp;$C921&amp;"]["&amp;$D921&amp;"]["&amp;$F921&amp;"]"</f>
        <v>[S06_AccredCertVerifiersAnnexI][13][AccredCertScope]</v>
      </c>
    </row>
    <row r="922" spans="1:15" x14ac:dyDescent="0.3">
      <c r="A922" t="s">
        <v>2277</v>
      </c>
      <c r="B922" t="s">
        <v>1951</v>
      </c>
      <c r="C922" t="s">
        <v>1957</v>
      </c>
      <c r="D922">
        <v>14</v>
      </c>
      <c r="E922" t="s">
        <v>1447</v>
      </c>
      <c r="F922" t="s">
        <v>1958</v>
      </c>
      <c r="G922" t="s">
        <v>1737</v>
      </c>
      <c r="H922" t="s">
        <v>2279</v>
      </c>
      <c r="I922" t="s">
        <v>2279</v>
      </c>
      <c r="J922" t="s">
        <v>2279</v>
      </c>
      <c r="K922" t="s">
        <v>2279</v>
      </c>
      <c r="L922" t="s">
        <v>1590</v>
      </c>
      <c r="M922" t="s">
        <v>2279</v>
      </c>
      <c r="N922" t="s">
        <v>2279</v>
      </c>
      <c r="O922" s="190" t="str">
        <f>"["&amp;$C922&amp;"]["&amp;$D922&amp;"]["&amp;$F922&amp;"]"</f>
        <v>[S06_AccredCertVerifiersAnnexI][14][AccredCertScope]</v>
      </c>
    </row>
    <row r="923" spans="1:15" x14ac:dyDescent="0.3">
      <c r="A923" t="s">
        <v>2277</v>
      </c>
      <c r="B923" t="s">
        <v>1951</v>
      </c>
      <c r="C923" t="s">
        <v>1957</v>
      </c>
      <c r="D923">
        <v>15</v>
      </c>
      <c r="E923" t="s">
        <v>1447</v>
      </c>
      <c r="F923" t="s">
        <v>1958</v>
      </c>
      <c r="G923" t="s">
        <v>1737</v>
      </c>
      <c r="H923" t="s">
        <v>2279</v>
      </c>
      <c r="I923" t="s">
        <v>2279</v>
      </c>
      <c r="J923" t="s">
        <v>2279</v>
      </c>
      <c r="K923" t="s">
        <v>2279</v>
      </c>
      <c r="L923" t="s">
        <v>1595</v>
      </c>
      <c r="M923" t="s">
        <v>2279</v>
      </c>
      <c r="N923" t="s">
        <v>2279</v>
      </c>
      <c r="O923" s="190" t="str">
        <f>"["&amp;$C923&amp;"]["&amp;$D923&amp;"]["&amp;$F923&amp;"]"</f>
        <v>[S06_AccredCertVerifiersAnnexI][15][AccredCertScope]</v>
      </c>
    </row>
    <row r="924" spans="1:15" x14ac:dyDescent="0.3">
      <c r="A924" t="s">
        <v>2277</v>
      </c>
      <c r="B924" t="s">
        <v>1951</v>
      </c>
      <c r="C924" t="s">
        <v>1957</v>
      </c>
      <c r="D924">
        <v>16</v>
      </c>
      <c r="E924" t="s">
        <v>1447</v>
      </c>
      <c r="F924" t="s">
        <v>1958</v>
      </c>
      <c r="G924" t="s">
        <v>1737</v>
      </c>
      <c r="H924" t="s">
        <v>2279</v>
      </c>
      <c r="I924" t="s">
        <v>2279</v>
      </c>
      <c r="J924" t="s">
        <v>2279</v>
      </c>
      <c r="K924" t="s">
        <v>2279</v>
      </c>
      <c r="L924" t="s">
        <v>1600</v>
      </c>
      <c r="M924" t="s">
        <v>2279</v>
      </c>
      <c r="N924" t="s">
        <v>2279</v>
      </c>
      <c r="O924" s="190" t="str">
        <f>"["&amp;$C924&amp;"]["&amp;$D924&amp;"]["&amp;$F924&amp;"]"</f>
        <v>[S06_AccredCertVerifiersAnnexI][16][AccredCertScope]</v>
      </c>
    </row>
    <row r="925" spans="1:15" x14ac:dyDescent="0.3">
      <c r="A925" t="s">
        <v>2277</v>
      </c>
      <c r="B925" t="s">
        <v>1951</v>
      </c>
      <c r="C925" t="s">
        <v>1957</v>
      </c>
      <c r="D925">
        <v>17</v>
      </c>
      <c r="E925" t="s">
        <v>1447</v>
      </c>
      <c r="F925" t="s">
        <v>1958</v>
      </c>
      <c r="G925" t="s">
        <v>1737</v>
      </c>
      <c r="H925" t="s">
        <v>2279</v>
      </c>
      <c r="I925" t="s">
        <v>2279</v>
      </c>
      <c r="J925" t="s">
        <v>2279</v>
      </c>
      <c r="K925" t="s">
        <v>2279</v>
      </c>
      <c r="L925" t="s">
        <v>1605</v>
      </c>
      <c r="M925" t="s">
        <v>2279</v>
      </c>
      <c r="N925" t="s">
        <v>2279</v>
      </c>
      <c r="O925" s="190" t="str">
        <f>"["&amp;$C925&amp;"]["&amp;$D925&amp;"]["&amp;$F925&amp;"]"</f>
        <v>[S06_AccredCertVerifiersAnnexI][17][AccredCertScope]</v>
      </c>
    </row>
    <row r="926" spans="1:15" x14ac:dyDescent="0.3">
      <c r="A926" t="s">
        <v>2277</v>
      </c>
      <c r="B926" t="s">
        <v>1951</v>
      </c>
      <c r="C926" t="s">
        <v>1957</v>
      </c>
      <c r="D926">
        <v>18</v>
      </c>
      <c r="E926" t="s">
        <v>1447</v>
      </c>
      <c r="F926" t="s">
        <v>1958</v>
      </c>
      <c r="G926" t="s">
        <v>1737</v>
      </c>
      <c r="H926" t="s">
        <v>2279</v>
      </c>
      <c r="I926" t="s">
        <v>2279</v>
      </c>
      <c r="J926" t="s">
        <v>2279</v>
      </c>
      <c r="K926" t="s">
        <v>2279</v>
      </c>
      <c r="L926" t="s">
        <v>1610</v>
      </c>
      <c r="M926" t="s">
        <v>2279</v>
      </c>
      <c r="N926" t="s">
        <v>2279</v>
      </c>
      <c r="O926" s="190" t="str">
        <f>"["&amp;$C926&amp;"]["&amp;$D926&amp;"]["&amp;$F926&amp;"]"</f>
        <v>[S06_AccredCertVerifiersAnnexI][18][AccredCertScope]</v>
      </c>
    </row>
    <row r="927" spans="1:15" x14ac:dyDescent="0.3">
      <c r="A927" t="s">
        <v>2277</v>
      </c>
      <c r="B927" t="s">
        <v>1951</v>
      </c>
      <c r="C927" t="s">
        <v>1957</v>
      </c>
      <c r="D927">
        <v>19</v>
      </c>
      <c r="E927" t="s">
        <v>1447</v>
      </c>
      <c r="F927" t="s">
        <v>1958</v>
      </c>
      <c r="G927" t="s">
        <v>1737</v>
      </c>
      <c r="H927" t="s">
        <v>2279</v>
      </c>
      <c r="I927" t="s">
        <v>2279</v>
      </c>
      <c r="J927" t="s">
        <v>2279</v>
      </c>
      <c r="K927" t="s">
        <v>2279</v>
      </c>
      <c r="L927" t="s">
        <v>1615</v>
      </c>
      <c r="M927" t="s">
        <v>2279</v>
      </c>
      <c r="N927" t="s">
        <v>2279</v>
      </c>
      <c r="O927" s="190" t="str">
        <f>"["&amp;$C927&amp;"]["&amp;$D927&amp;"]["&amp;$F927&amp;"]"</f>
        <v>[S06_AccredCertVerifiersAnnexI][19][AccredCertScope]</v>
      </c>
    </row>
    <row r="928" spans="1:15" x14ac:dyDescent="0.3">
      <c r="A928" t="s">
        <v>2277</v>
      </c>
      <c r="B928" t="s">
        <v>1951</v>
      </c>
      <c r="C928" t="s">
        <v>1957</v>
      </c>
      <c r="D928">
        <v>20</v>
      </c>
      <c r="E928" t="s">
        <v>1447</v>
      </c>
      <c r="F928" t="s">
        <v>1958</v>
      </c>
      <c r="G928" t="s">
        <v>1737</v>
      </c>
      <c r="H928" t="s">
        <v>2279</v>
      </c>
      <c r="I928" t="s">
        <v>2279</v>
      </c>
      <c r="J928" t="s">
        <v>2279</v>
      </c>
      <c r="K928" t="s">
        <v>2279</v>
      </c>
      <c r="L928" t="s">
        <v>1620</v>
      </c>
      <c r="M928" t="s">
        <v>2279</v>
      </c>
      <c r="N928" t="s">
        <v>2279</v>
      </c>
      <c r="O928" s="190" t="str">
        <f>"["&amp;$C928&amp;"]["&amp;$D928&amp;"]["&amp;$F928&amp;"]"</f>
        <v>[S06_AccredCertVerifiersAnnexI][20][AccredCertScope]</v>
      </c>
    </row>
    <row r="929" spans="1:15" x14ac:dyDescent="0.3">
      <c r="A929" t="s">
        <v>2277</v>
      </c>
      <c r="B929" t="s">
        <v>1951</v>
      </c>
      <c r="C929" t="s">
        <v>1957</v>
      </c>
      <c r="D929">
        <v>21</v>
      </c>
      <c r="E929" t="s">
        <v>1447</v>
      </c>
      <c r="F929" t="s">
        <v>1958</v>
      </c>
      <c r="G929" t="s">
        <v>1737</v>
      </c>
      <c r="H929" t="s">
        <v>2279</v>
      </c>
      <c r="I929" t="s">
        <v>2279</v>
      </c>
      <c r="J929" t="s">
        <v>2279</v>
      </c>
      <c r="K929" t="s">
        <v>2279</v>
      </c>
      <c r="L929" t="s">
        <v>1625</v>
      </c>
      <c r="M929" t="s">
        <v>2279</v>
      </c>
      <c r="N929" t="s">
        <v>2279</v>
      </c>
      <c r="O929" s="190" t="str">
        <f>"["&amp;$C929&amp;"]["&amp;$D929&amp;"]["&amp;$F929&amp;"]"</f>
        <v>[S06_AccredCertVerifiersAnnexI][21][AccredCertScope]</v>
      </c>
    </row>
    <row r="930" spans="1:15" x14ac:dyDescent="0.3">
      <c r="A930" t="s">
        <v>2277</v>
      </c>
      <c r="B930" t="s">
        <v>1951</v>
      </c>
      <c r="C930" t="s">
        <v>1957</v>
      </c>
      <c r="D930">
        <v>22</v>
      </c>
      <c r="E930" t="s">
        <v>1447</v>
      </c>
      <c r="F930" t="s">
        <v>1958</v>
      </c>
      <c r="G930" t="s">
        <v>1737</v>
      </c>
      <c r="H930" t="s">
        <v>2279</v>
      </c>
      <c r="I930" t="s">
        <v>2279</v>
      </c>
      <c r="J930" t="s">
        <v>2279</v>
      </c>
      <c r="K930" t="s">
        <v>2279</v>
      </c>
      <c r="L930" t="s">
        <v>1629</v>
      </c>
      <c r="M930" t="s">
        <v>2279</v>
      </c>
      <c r="N930" t="s">
        <v>2279</v>
      </c>
      <c r="O930" s="190" t="str">
        <f>"["&amp;$C930&amp;"]["&amp;$D930&amp;"]["&amp;$F930&amp;"]"</f>
        <v>[S06_AccredCertVerifiersAnnexI][22][AccredCertScope]</v>
      </c>
    </row>
    <row r="931" spans="1:15" x14ac:dyDescent="0.3">
      <c r="A931" t="s">
        <v>2277</v>
      </c>
      <c r="B931" t="s">
        <v>1951</v>
      </c>
      <c r="C931" t="s">
        <v>1957</v>
      </c>
      <c r="D931">
        <v>23</v>
      </c>
      <c r="E931" t="s">
        <v>1447</v>
      </c>
      <c r="F931" t="s">
        <v>1958</v>
      </c>
      <c r="G931" t="s">
        <v>1737</v>
      </c>
      <c r="H931" t="s">
        <v>2279</v>
      </c>
      <c r="I931" t="s">
        <v>2279</v>
      </c>
      <c r="J931" t="s">
        <v>2279</v>
      </c>
      <c r="K931" t="s">
        <v>2279</v>
      </c>
      <c r="L931" t="s">
        <v>1634</v>
      </c>
      <c r="M931" t="s">
        <v>2279</v>
      </c>
      <c r="N931" t="s">
        <v>2279</v>
      </c>
      <c r="O931" s="190" t="str">
        <f>"["&amp;$C931&amp;"]["&amp;$D931&amp;"]["&amp;$F931&amp;"]"</f>
        <v>[S06_AccredCertVerifiersAnnexI][23][AccredCertScope]</v>
      </c>
    </row>
    <row r="932" spans="1:15" x14ac:dyDescent="0.3">
      <c r="A932" t="s">
        <v>2277</v>
      </c>
      <c r="B932" t="s">
        <v>1951</v>
      </c>
      <c r="C932" t="s">
        <v>1957</v>
      </c>
      <c r="D932">
        <v>24</v>
      </c>
      <c r="E932" t="s">
        <v>1447</v>
      </c>
      <c r="F932" t="s">
        <v>1958</v>
      </c>
      <c r="G932" t="s">
        <v>1737</v>
      </c>
      <c r="H932" t="s">
        <v>2279</v>
      </c>
      <c r="I932" t="s">
        <v>2279</v>
      </c>
      <c r="J932" t="s">
        <v>2279</v>
      </c>
      <c r="K932" t="s">
        <v>2279</v>
      </c>
      <c r="L932" t="s">
        <v>1639</v>
      </c>
      <c r="M932" t="s">
        <v>2279</v>
      </c>
      <c r="N932" t="s">
        <v>2279</v>
      </c>
      <c r="O932" s="190" t="str">
        <f>"["&amp;$C932&amp;"]["&amp;$D932&amp;"]["&amp;$F932&amp;"]"</f>
        <v>[S06_AccredCertVerifiersAnnexI][24][AccredCertScope]</v>
      </c>
    </row>
    <row r="933" spans="1:15" x14ac:dyDescent="0.3">
      <c r="A933" t="s">
        <v>2277</v>
      </c>
      <c r="B933" t="s">
        <v>1951</v>
      </c>
      <c r="C933" t="s">
        <v>1957</v>
      </c>
      <c r="D933">
        <v>25</v>
      </c>
      <c r="E933" t="s">
        <v>1447</v>
      </c>
      <c r="F933" t="s">
        <v>1958</v>
      </c>
      <c r="G933" t="s">
        <v>1737</v>
      </c>
      <c r="H933" t="s">
        <v>2279</v>
      </c>
      <c r="I933" t="s">
        <v>2279</v>
      </c>
      <c r="J933" t="s">
        <v>2279</v>
      </c>
      <c r="K933" t="s">
        <v>2279</v>
      </c>
      <c r="L933" t="s">
        <v>1644</v>
      </c>
      <c r="M933" t="s">
        <v>2279</v>
      </c>
      <c r="N933" t="s">
        <v>2279</v>
      </c>
      <c r="O933" s="190" t="str">
        <f>"["&amp;$C933&amp;"]["&amp;$D933&amp;"]["&amp;$F933&amp;"]"</f>
        <v>[S06_AccredCertVerifiersAnnexI][25][AccredCertScope]</v>
      </c>
    </row>
    <row r="934" spans="1:15" x14ac:dyDescent="0.3">
      <c r="A934" t="s">
        <v>2277</v>
      </c>
      <c r="B934" t="s">
        <v>1951</v>
      </c>
      <c r="C934" t="s">
        <v>1957</v>
      </c>
      <c r="D934">
        <v>26</v>
      </c>
      <c r="E934" t="s">
        <v>1447</v>
      </c>
      <c r="F934" t="s">
        <v>1958</v>
      </c>
      <c r="G934" t="s">
        <v>1737</v>
      </c>
      <c r="H934" t="s">
        <v>2279</v>
      </c>
      <c r="I934" t="s">
        <v>2279</v>
      </c>
      <c r="J934" t="s">
        <v>2279</v>
      </c>
      <c r="K934" t="s">
        <v>2279</v>
      </c>
      <c r="L934" t="s">
        <v>1663</v>
      </c>
      <c r="M934" t="s">
        <v>2279</v>
      </c>
      <c r="N934" t="s">
        <v>2279</v>
      </c>
      <c r="O934" s="190" t="str">
        <f>"["&amp;$C934&amp;"]["&amp;$D934&amp;"]["&amp;$F934&amp;"]"</f>
        <v>[S06_AccredCertVerifiersAnnexI][26][AccredCertScope]</v>
      </c>
    </row>
    <row r="935" spans="1:15" x14ac:dyDescent="0.3">
      <c r="A935" t="s">
        <v>2277</v>
      </c>
      <c r="B935" t="s">
        <v>1951</v>
      </c>
      <c r="C935" t="s">
        <v>1957</v>
      </c>
      <c r="D935">
        <v>27</v>
      </c>
      <c r="E935" t="s">
        <v>1447</v>
      </c>
      <c r="F935" t="s">
        <v>1958</v>
      </c>
      <c r="G935" t="s">
        <v>1737</v>
      </c>
      <c r="H935" t="s">
        <v>2279</v>
      </c>
      <c r="I935" t="s">
        <v>2279</v>
      </c>
      <c r="J935" t="s">
        <v>2279</v>
      </c>
      <c r="K935" t="s">
        <v>2279</v>
      </c>
      <c r="L935" t="s">
        <v>1666</v>
      </c>
      <c r="M935" t="s">
        <v>2279</v>
      </c>
      <c r="N935" t="s">
        <v>2279</v>
      </c>
      <c r="O935" s="190" t="str">
        <f>"["&amp;$C935&amp;"]["&amp;$D935&amp;"]["&amp;$F935&amp;"]"</f>
        <v>[S06_AccredCertVerifiersAnnexI][27][AccredCertScope]</v>
      </c>
    </row>
    <row r="936" spans="1:15" x14ac:dyDescent="0.3">
      <c r="A936" t="s">
        <v>2277</v>
      </c>
      <c r="B936" t="s">
        <v>1951</v>
      </c>
      <c r="C936" t="s">
        <v>1957</v>
      </c>
      <c r="D936">
        <v>1</v>
      </c>
      <c r="E936" t="s">
        <v>1447</v>
      </c>
      <c r="F936" t="s">
        <v>1959</v>
      </c>
      <c r="G936" t="s">
        <v>1748</v>
      </c>
      <c r="H936" t="s">
        <v>2279</v>
      </c>
      <c r="I936">
        <v>5</v>
      </c>
      <c r="J936" t="s">
        <v>2279</v>
      </c>
      <c r="K936" t="s">
        <v>2279</v>
      </c>
      <c r="L936" t="s">
        <v>2279</v>
      </c>
      <c r="M936" t="s">
        <v>2279</v>
      </c>
      <c r="N936" t="s">
        <v>2279</v>
      </c>
      <c r="O936" s="190" t="str">
        <f>"["&amp;$C936&amp;"]["&amp;$D936&amp;"]["&amp;$F936&amp;"]"</f>
        <v>[S06_AccredCertVerifiersAnnexI][1][NumberAccredited]</v>
      </c>
    </row>
    <row r="937" spans="1:15" x14ac:dyDescent="0.3">
      <c r="A937" t="s">
        <v>2277</v>
      </c>
      <c r="B937" t="s">
        <v>1951</v>
      </c>
      <c r="C937" t="s">
        <v>1957</v>
      </c>
      <c r="D937">
        <v>2</v>
      </c>
      <c r="E937" t="s">
        <v>1447</v>
      </c>
      <c r="F937" t="s">
        <v>1959</v>
      </c>
      <c r="G937" t="s">
        <v>1748</v>
      </c>
      <c r="H937" t="s">
        <v>2279</v>
      </c>
      <c r="I937">
        <v>5</v>
      </c>
      <c r="J937" t="s">
        <v>2279</v>
      </c>
      <c r="K937" t="s">
        <v>2279</v>
      </c>
      <c r="L937" t="s">
        <v>2279</v>
      </c>
      <c r="M937" t="s">
        <v>2279</v>
      </c>
      <c r="N937" t="s">
        <v>2279</v>
      </c>
      <c r="O937" s="190" t="str">
        <f>"["&amp;$C937&amp;"]["&amp;$D937&amp;"]["&amp;$F937&amp;"]"</f>
        <v>[S06_AccredCertVerifiersAnnexI][2][NumberAccredited]</v>
      </c>
    </row>
    <row r="938" spans="1:15" x14ac:dyDescent="0.3">
      <c r="A938" t="s">
        <v>2277</v>
      </c>
      <c r="B938" t="s">
        <v>1951</v>
      </c>
      <c r="C938" t="s">
        <v>1957</v>
      </c>
      <c r="D938">
        <v>3</v>
      </c>
      <c r="E938" t="s">
        <v>1447</v>
      </c>
      <c r="F938" t="s">
        <v>1959</v>
      </c>
      <c r="G938" t="s">
        <v>1748</v>
      </c>
      <c r="H938" t="s">
        <v>2279</v>
      </c>
      <c r="I938">
        <v>2</v>
      </c>
      <c r="J938" t="s">
        <v>2279</v>
      </c>
      <c r="K938" t="s">
        <v>2279</v>
      </c>
      <c r="L938" t="s">
        <v>2279</v>
      </c>
      <c r="M938" t="s">
        <v>2279</v>
      </c>
      <c r="N938" t="s">
        <v>2279</v>
      </c>
      <c r="O938" s="190" t="str">
        <f>"["&amp;$C938&amp;"]["&amp;$D938&amp;"]["&amp;$F938&amp;"]"</f>
        <v>[S06_AccredCertVerifiersAnnexI][3][NumberAccredited]</v>
      </c>
    </row>
    <row r="939" spans="1:15" x14ac:dyDescent="0.3">
      <c r="A939" t="s">
        <v>2277</v>
      </c>
      <c r="B939" t="s">
        <v>1951</v>
      </c>
      <c r="C939" t="s">
        <v>1957</v>
      </c>
      <c r="D939">
        <v>4</v>
      </c>
      <c r="E939" t="s">
        <v>1447</v>
      </c>
      <c r="F939" t="s">
        <v>1959</v>
      </c>
      <c r="G939" t="s">
        <v>1748</v>
      </c>
      <c r="H939" t="s">
        <v>2279</v>
      </c>
      <c r="I939">
        <v>3</v>
      </c>
      <c r="J939" t="s">
        <v>2279</v>
      </c>
      <c r="K939" t="s">
        <v>2279</v>
      </c>
      <c r="L939" t="s">
        <v>2279</v>
      </c>
      <c r="M939" t="s">
        <v>2279</v>
      </c>
      <c r="N939" t="s">
        <v>2279</v>
      </c>
      <c r="O939" s="190" t="str">
        <f>"["&amp;$C939&amp;"]["&amp;$D939&amp;"]["&amp;$F939&amp;"]"</f>
        <v>[S06_AccredCertVerifiersAnnexI][4][NumberAccredited]</v>
      </c>
    </row>
    <row r="940" spans="1:15" x14ac:dyDescent="0.3">
      <c r="A940" t="s">
        <v>2277</v>
      </c>
      <c r="B940" t="s">
        <v>1951</v>
      </c>
      <c r="C940" t="s">
        <v>1957</v>
      </c>
      <c r="D940">
        <v>5</v>
      </c>
      <c r="E940" t="s">
        <v>1447</v>
      </c>
      <c r="F940" t="s">
        <v>1959</v>
      </c>
      <c r="G940" t="s">
        <v>1748</v>
      </c>
      <c r="H940" t="s">
        <v>2279</v>
      </c>
      <c r="I940">
        <v>3</v>
      </c>
      <c r="J940" t="s">
        <v>2279</v>
      </c>
      <c r="K940" t="s">
        <v>2279</v>
      </c>
      <c r="L940" t="s">
        <v>2279</v>
      </c>
      <c r="M940" t="s">
        <v>2279</v>
      </c>
      <c r="N940" t="s">
        <v>2279</v>
      </c>
      <c r="O940" s="190" t="str">
        <f>"["&amp;$C940&amp;"]["&amp;$D940&amp;"]["&amp;$F940&amp;"]"</f>
        <v>[S06_AccredCertVerifiersAnnexI][5][NumberAccredited]</v>
      </c>
    </row>
    <row r="941" spans="1:15" x14ac:dyDescent="0.3">
      <c r="A941" t="s">
        <v>2277</v>
      </c>
      <c r="B941" t="s">
        <v>1951</v>
      </c>
      <c r="C941" t="s">
        <v>1957</v>
      </c>
      <c r="D941">
        <v>6</v>
      </c>
      <c r="E941" t="s">
        <v>1447</v>
      </c>
      <c r="F941" t="s">
        <v>1959</v>
      </c>
      <c r="G941" t="s">
        <v>1748</v>
      </c>
      <c r="H941" t="s">
        <v>2279</v>
      </c>
      <c r="I941">
        <v>3</v>
      </c>
      <c r="J941" t="s">
        <v>2279</v>
      </c>
      <c r="K941" t="s">
        <v>2279</v>
      </c>
      <c r="L941" t="s">
        <v>2279</v>
      </c>
      <c r="M941" t="s">
        <v>2279</v>
      </c>
      <c r="N941" t="s">
        <v>2279</v>
      </c>
      <c r="O941" s="190" t="str">
        <f>"["&amp;$C941&amp;"]["&amp;$D941&amp;"]["&amp;$F941&amp;"]"</f>
        <v>[S06_AccredCertVerifiersAnnexI][6][NumberAccredited]</v>
      </c>
    </row>
    <row r="942" spans="1:15" x14ac:dyDescent="0.3">
      <c r="A942" t="s">
        <v>2277</v>
      </c>
      <c r="B942" t="s">
        <v>1951</v>
      </c>
      <c r="C942" t="s">
        <v>1957</v>
      </c>
      <c r="D942">
        <v>7</v>
      </c>
      <c r="E942" t="s">
        <v>1447</v>
      </c>
      <c r="F942" t="s">
        <v>1959</v>
      </c>
      <c r="G942" t="s">
        <v>1748</v>
      </c>
      <c r="H942" t="s">
        <v>2279</v>
      </c>
      <c r="I942">
        <v>3</v>
      </c>
      <c r="J942" t="s">
        <v>2279</v>
      </c>
      <c r="K942" t="s">
        <v>2279</v>
      </c>
      <c r="L942" t="s">
        <v>2279</v>
      </c>
      <c r="M942" t="s">
        <v>2279</v>
      </c>
      <c r="N942" t="s">
        <v>2279</v>
      </c>
      <c r="O942" s="190" t="str">
        <f>"["&amp;$C942&amp;"]["&amp;$D942&amp;"]["&amp;$F942&amp;"]"</f>
        <v>[S06_AccredCertVerifiersAnnexI][7][NumberAccredited]</v>
      </c>
    </row>
    <row r="943" spans="1:15" x14ac:dyDescent="0.3">
      <c r="A943" t="s">
        <v>2277</v>
      </c>
      <c r="B943" t="s">
        <v>1951</v>
      </c>
      <c r="C943" t="s">
        <v>1957</v>
      </c>
      <c r="D943">
        <v>8</v>
      </c>
      <c r="E943" t="s">
        <v>1447</v>
      </c>
      <c r="F943" t="s">
        <v>1959</v>
      </c>
      <c r="G943" t="s">
        <v>1748</v>
      </c>
      <c r="H943" t="s">
        <v>2279</v>
      </c>
      <c r="I943">
        <v>3</v>
      </c>
      <c r="J943" t="s">
        <v>2279</v>
      </c>
      <c r="K943" t="s">
        <v>2279</v>
      </c>
      <c r="L943" t="s">
        <v>2279</v>
      </c>
      <c r="M943" t="s">
        <v>2279</v>
      </c>
      <c r="N943" t="s">
        <v>2279</v>
      </c>
      <c r="O943" s="190" t="str">
        <f>"["&amp;$C943&amp;"]["&amp;$D943&amp;"]["&amp;$F943&amp;"]"</f>
        <v>[S06_AccredCertVerifiersAnnexI][8][NumberAccredited]</v>
      </c>
    </row>
    <row r="944" spans="1:15" x14ac:dyDescent="0.3">
      <c r="A944" t="s">
        <v>2277</v>
      </c>
      <c r="B944" t="s">
        <v>1951</v>
      </c>
      <c r="C944" t="s">
        <v>1957</v>
      </c>
      <c r="D944">
        <v>9</v>
      </c>
      <c r="E944" t="s">
        <v>1447</v>
      </c>
      <c r="F944" t="s">
        <v>1959</v>
      </c>
      <c r="G944" t="s">
        <v>1748</v>
      </c>
      <c r="H944" t="s">
        <v>2279</v>
      </c>
      <c r="I944">
        <v>3</v>
      </c>
      <c r="J944" t="s">
        <v>2279</v>
      </c>
      <c r="K944" t="s">
        <v>2279</v>
      </c>
      <c r="L944" t="s">
        <v>2279</v>
      </c>
      <c r="M944" t="s">
        <v>2279</v>
      </c>
      <c r="N944" t="s">
        <v>2279</v>
      </c>
      <c r="O944" s="190" t="str">
        <f>"["&amp;$C944&amp;"]["&amp;$D944&amp;"]["&amp;$F944&amp;"]"</f>
        <v>[S06_AccredCertVerifiersAnnexI][9][NumberAccredited]</v>
      </c>
    </row>
    <row r="945" spans="1:15" x14ac:dyDescent="0.3">
      <c r="A945" t="s">
        <v>2277</v>
      </c>
      <c r="B945" t="s">
        <v>1951</v>
      </c>
      <c r="C945" t="s">
        <v>1957</v>
      </c>
      <c r="D945">
        <v>10</v>
      </c>
      <c r="E945" t="s">
        <v>1447</v>
      </c>
      <c r="F945" t="s">
        <v>1959</v>
      </c>
      <c r="G945" t="s">
        <v>1748</v>
      </c>
      <c r="H945" t="s">
        <v>2279</v>
      </c>
      <c r="I945">
        <v>5</v>
      </c>
      <c r="J945" t="s">
        <v>2279</v>
      </c>
      <c r="K945" t="s">
        <v>2279</v>
      </c>
      <c r="L945" t="s">
        <v>2279</v>
      </c>
      <c r="M945" t="s">
        <v>2279</v>
      </c>
      <c r="N945" t="s">
        <v>2279</v>
      </c>
      <c r="O945" s="190" t="str">
        <f>"["&amp;$C945&amp;"]["&amp;$D945&amp;"]["&amp;$F945&amp;"]"</f>
        <v>[S06_AccredCertVerifiersAnnexI][10][NumberAccredited]</v>
      </c>
    </row>
    <row r="946" spans="1:15" x14ac:dyDescent="0.3">
      <c r="A946" t="s">
        <v>2277</v>
      </c>
      <c r="B946" t="s">
        <v>1951</v>
      </c>
      <c r="C946" t="s">
        <v>1957</v>
      </c>
      <c r="D946">
        <v>11</v>
      </c>
      <c r="E946" t="s">
        <v>1447</v>
      </c>
      <c r="F946" t="s">
        <v>1959</v>
      </c>
      <c r="G946" t="s">
        <v>1748</v>
      </c>
      <c r="H946" t="s">
        <v>2279</v>
      </c>
      <c r="I946">
        <v>5</v>
      </c>
      <c r="J946" t="s">
        <v>2279</v>
      </c>
      <c r="K946" t="s">
        <v>2279</v>
      </c>
      <c r="L946" t="s">
        <v>2279</v>
      </c>
      <c r="M946" t="s">
        <v>2279</v>
      </c>
      <c r="N946" t="s">
        <v>2279</v>
      </c>
      <c r="O946" s="190" t="str">
        <f>"["&amp;$C946&amp;"]["&amp;$D946&amp;"]["&amp;$F946&amp;"]"</f>
        <v>[S06_AccredCertVerifiersAnnexI][11][NumberAccredited]</v>
      </c>
    </row>
    <row r="947" spans="1:15" x14ac:dyDescent="0.3">
      <c r="A947" t="s">
        <v>2277</v>
      </c>
      <c r="B947" t="s">
        <v>1951</v>
      </c>
      <c r="C947" t="s">
        <v>1957</v>
      </c>
      <c r="D947">
        <v>12</v>
      </c>
      <c r="E947" t="s">
        <v>1447</v>
      </c>
      <c r="F947" t="s">
        <v>1959</v>
      </c>
      <c r="G947" t="s">
        <v>1748</v>
      </c>
      <c r="H947" t="s">
        <v>2279</v>
      </c>
      <c r="I947">
        <v>5</v>
      </c>
      <c r="J947" t="s">
        <v>2279</v>
      </c>
      <c r="K947" t="s">
        <v>2279</v>
      </c>
      <c r="L947" t="s">
        <v>2279</v>
      </c>
      <c r="M947" t="s">
        <v>2279</v>
      </c>
      <c r="N947" t="s">
        <v>2279</v>
      </c>
      <c r="O947" s="190" t="str">
        <f>"["&amp;$C947&amp;"]["&amp;$D947&amp;"]["&amp;$F947&amp;"]"</f>
        <v>[S06_AccredCertVerifiersAnnexI][12][NumberAccredited]</v>
      </c>
    </row>
    <row r="948" spans="1:15" x14ac:dyDescent="0.3">
      <c r="A948" t="s">
        <v>2277</v>
      </c>
      <c r="B948" t="s">
        <v>1951</v>
      </c>
      <c r="C948" t="s">
        <v>1957</v>
      </c>
      <c r="D948">
        <v>13</v>
      </c>
      <c r="E948" t="s">
        <v>1447</v>
      </c>
      <c r="F948" t="s">
        <v>1959</v>
      </c>
      <c r="G948" t="s">
        <v>1748</v>
      </c>
      <c r="H948" t="s">
        <v>2279</v>
      </c>
      <c r="I948">
        <v>5</v>
      </c>
      <c r="J948" t="s">
        <v>2279</v>
      </c>
      <c r="K948" t="s">
        <v>2279</v>
      </c>
      <c r="L948" t="s">
        <v>2279</v>
      </c>
      <c r="M948" t="s">
        <v>2279</v>
      </c>
      <c r="N948" t="s">
        <v>2279</v>
      </c>
      <c r="O948" s="190" t="str">
        <f>"["&amp;$C948&amp;"]["&amp;$D948&amp;"]["&amp;$F948&amp;"]"</f>
        <v>[S06_AccredCertVerifiersAnnexI][13][NumberAccredited]</v>
      </c>
    </row>
    <row r="949" spans="1:15" x14ac:dyDescent="0.3">
      <c r="A949" t="s">
        <v>2277</v>
      </c>
      <c r="B949" t="s">
        <v>1951</v>
      </c>
      <c r="C949" t="s">
        <v>1957</v>
      </c>
      <c r="D949">
        <v>14</v>
      </c>
      <c r="E949" t="s">
        <v>1447</v>
      </c>
      <c r="F949" t="s">
        <v>1959</v>
      </c>
      <c r="G949" t="s">
        <v>1748</v>
      </c>
      <c r="H949" t="s">
        <v>2279</v>
      </c>
      <c r="I949">
        <v>5</v>
      </c>
      <c r="J949" t="s">
        <v>2279</v>
      </c>
      <c r="K949" t="s">
        <v>2279</v>
      </c>
      <c r="L949" t="s">
        <v>2279</v>
      </c>
      <c r="M949" t="s">
        <v>2279</v>
      </c>
      <c r="N949" t="s">
        <v>2279</v>
      </c>
      <c r="O949" s="190" t="str">
        <f>"["&amp;$C949&amp;"]["&amp;$D949&amp;"]["&amp;$F949&amp;"]"</f>
        <v>[S06_AccredCertVerifiersAnnexI][14][NumberAccredited]</v>
      </c>
    </row>
    <row r="950" spans="1:15" x14ac:dyDescent="0.3">
      <c r="A950" t="s">
        <v>2277</v>
      </c>
      <c r="B950" t="s">
        <v>1951</v>
      </c>
      <c r="C950" t="s">
        <v>1957</v>
      </c>
      <c r="D950">
        <v>15</v>
      </c>
      <c r="E950" t="s">
        <v>1447</v>
      </c>
      <c r="F950" t="s">
        <v>1959</v>
      </c>
      <c r="G950" t="s">
        <v>1748</v>
      </c>
      <c r="H950" t="s">
        <v>2279</v>
      </c>
      <c r="I950">
        <v>5</v>
      </c>
      <c r="J950" t="s">
        <v>2279</v>
      </c>
      <c r="K950" t="s">
        <v>2279</v>
      </c>
      <c r="L950" t="s">
        <v>2279</v>
      </c>
      <c r="M950" t="s">
        <v>2279</v>
      </c>
      <c r="N950" t="s">
        <v>2279</v>
      </c>
      <c r="O950" s="190" t="str">
        <f>"["&amp;$C950&amp;"]["&amp;$D950&amp;"]["&amp;$F950&amp;"]"</f>
        <v>[S06_AccredCertVerifiersAnnexI][15][NumberAccredited]</v>
      </c>
    </row>
    <row r="951" spans="1:15" x14ac:dyDescent="0.3">
      <c r="A951" t="s">
        <v>2277</v>
      </c>
      <c r="B951" t="s">
        <v>1951</v>
      </c>
      <c r="C951" t="s">
        <v>1957</v>
      </c>
      <c r="D951">
        <v>16</v>
      </c>
      <c r="E951" t="s">
        <v>1447</v>
      </c>
      <c r="F951" t="s">
        <v>1959</v>
      </c>
      <c r="G951" t="s">
        <v>1748</v>
      </c>
      <c r="H951" t="s">
        <v>2279</v>
      </c>
      <c r="I951">
        <v>4</v>
      </c>
      <c r="J951" t="s">
        <v>2279</v>
      </c>
      <c r="K951" t="s">
        <v>2279</v>
      </c>
      <c r="L951" t="s">
        <v>2279</v>
      </c>
      <c r="M951" t="s">
        <v>2279</v>
      </c>
      <c r="N951" t="s">
        <v>2279</v>
      </c>
      <c r="O951" s="190" t="str">
        <f>"["&amp;$C951&amp;"]["&amp;$D951&amp;"]["&amp;$F951&amp;"]"</f>
        <v>[S06_AccredCertVerifiersAnnexI][16][NumberAccredited]</v>
      </c>
    </row>
    <row r="952" spans="1:15" x14ac:dyDescent="0.3">
      <c r="A952" t="s">
        <v>2277</v>
      </c>
      <c r="B952" t="s">
        <v>1951</v>
      </c>
      <c r="C952" t="s">
        <v>1957</v>
      </c>
      <c r="D952">
        <v>17</v>
      </c>
      <c r="E952" t="s">
        <v>1447</v>
      </c>
      <c r="F952" t="s">
        <v>1959</v>
      </c>
      <c r="G952" t="s">
        <v>1748</v>
      </c>
      <c r="H952" t="s">
        <v>2279</v>
      </c>
      <c r="I952">
        <v>4</v>
      </c>
      <c r="J952" t="s">
        <v>2279</v>
      </c>
      <c r="K952" t="s">
        <v>2279</v>
      </c>
      <c r="L952" t="s">
        <v>2279</v>
      </c>
      <c r="M952" t="s">
        <v>2279</v>
      </c>
      <c r="N952" t="s">
        <v>2279</v>
      </c>
      <c r="O952" s="190" t="str">
        <f>"["&amp;$C952&amp;"]["&amp;$D952&amp;"]["&amp;$F952&amp;"]"</f>
        <v>[S06_AccredCertVerifiersAnnexI][17][NumberAccredited]</v>
      </c>
    </row>
    <row r="953" spans="1:15" x14ac:dyDescent="0.3">
      <c r="A953" t="s">
        <v>2277</v>
      </c>
      <c r="B953" t="s">
        <v>1951</v>
      </c>
      <c r="C953" t="s">
        <v>1957</v>
      </c>
      <c r="D953">
        <v>18</v>
      </c>
      <c r="E953" t="s">
        <v>1447</v>
      </c>
      <c r="F953" t="s">
        <v>1959</v>
      </c>
      <c r="G953" t="s">
        <v>1748</v>
      </c>
      <c r="H953" t="s">
        <v>2279</v>
      </c>
      <c r="I953">
        <v>3</v>
      </c>
      <c r="J953" t="s">
        <v>2279</v>
      </c>
      <c r="K953" t="s">
        <v>2279</v>
      </c>
      <c r="L953" t="s">
        <v>2279</v>
      </c>
      <c r="M953" t="s">
        <v>2279</v>
      </c>
      <c r="N953" t="s">
        <v>2279</v>
      </c>
      <c r="O953" s="190" t="str">
        <f>"["&amp;$C953&amp;"]["&amp;$D953&amp;"]["&amp;$F953&amp;"]"</f>
        <v>[S06_AccredCertVerifiersAnnexI][18][NumberAccredited]</v>
      </c>
    </row>
    <row r="954" spans="1:15" x14ac:dyDescent="0.3">
      <c r="A954" t="s">
        <v>2277</v>
      </c>
      <c r="B954" t="s">
        <v>1951</v>
      </c>
      <c r="C954" t="s">
        <v>1957</v>
      </c>
      <c r="D954">
        <v>19</v>
      </c>
      <c r="E954" t="s">
        <v>1447</v>
      </c>
      <c r="F954" t="s">
        <v>1959</v>
      </c>
      <c r="G954" t="s">
        <v>1748</v>
      </c>
      <c r="H954" t="s">
        <v>2279</v>
      </c>
      <c r="I954">
        <v>3</v>
      </c>
      <c r="J954" t="s">
        <v>2279</v>
      </c>
      <c r="K954" t="s">
        <v>2279</v>
      </c>
      <c r="L954" t="s">
        <v>2279</v>
      </c>
      <c r="M954" t="s">
        <v>2279</v>
      </c>
      <c r="N954" t="s">
        <v>2279</v>
      </c>
      <c r="O954" s="190" t="str">
        <f>"["&amp;$C954&amp;"]["&amp;$D954&amp;"]["&amp;$F954&amp;"]"</f>
        <v>[S06_AccredCertVerifiersAnnexI][19][NumberAccredited]</v>
      </c>
    </row>
    <row r="955" spans="1:15" x14ac:dyDescent="0.3">
      <c r="A955" t="s">
        <v>2277</v>
      </c>
      <c r="B955" t="s">
        <v>1951</v>
      </c>
      <c r="C955" t="s">
        <v>1957</v>
      </c>
      <c r="D955">
        <v>20</v>
      </c>
      <c r="E955" t="s">
        <v>1447</v>
      </c>
      <c r="F955" t="s">
        <v>1959</v>
      </c>
      <c r="G955" t="s">
        <v>1748</v>
      </c>
      <c r="H955" t="s">
        <v>2279</v>
      </c>
      <c r="I955">
        <v>3</v>
      </c>
      <c r="J955" t="s">
        <v>2279</v>
      </c>
      <c r="K955" t="s">
        <v>2279</v>
      </c>
      <c r="L955" t="s">
        <v>2279</v>
      </c>
      <c r="M955" t="s">
        <v>2279</v>
      </c>
      <c r="N955" t="s">
        <v>2279</v>
      </c>
      <c r="O955" s="190" t="str">
        <f>"["&amp;$C955&amp;"]["&amp;$D955&amp;"]["&amp;$F955&amp;"]"</f>
        <v>[S06_AccredCertVerifiersAnnexI][20][NumberAccredited]</v>
      </c>
    </row>
    <row r="956" spans="1:15" x14ac:dyDescent="0.3">
      <c r="A956" t="s">
        <v>2277</v>
      </c>
      <c r="B956" t="s">
        <v>1951</v>
      </c>
      <c r="C956" t="s">
        <v>1957</v>
      </c>
      <c r="D956">
        <v>21</v>
      </c>
      <c r="E956" t="s">
        <v>1447</v>
      </c>
      <c r="F956" t="s">
        <v>1959</v>
      </c>
      <c r="G956" t="s">
        <v>1748</v>
      </c>
      <c r="H956" t="s">
        <v>2279</v>
      </c>
      <c r="I956">
        <v>3</v>
      </c>
      <c r="J956" t="s">
        <v>2279</v>
      </c>
      <c r="K956" t="s">
        <v>2279</v>
      </c>
      <c r="L956" t="s">
        <v>2279</v>
      </c>
      <c r="M956" t="s">
        <v>2279</v>
      </c>
      <c r="N956" t="s">
        <v>2279</v>
      </c>
      <c r="O956" s="190" t="str">
        <f>"["&amp;$C956&amp;"]["&amp;$D956&amp;"]["&amp;$F956&amp;"]"</f>
        <v>[S06_AccredCertVerifiersAnnexI][21][NumberAccredited]</v>
      </c>
    </row>
    <row r="957" spans="1:15" x14ac:dyDescent="0.3">
      <c r="A957" t="s">
        <v>2277</v>
      </c>
      <c r="B957" t="s">
        <v>1951</v>
      </c>
      <c r="C957" t="s">
        <v>1957</v>
      </c>
      <c r="D957">
        <v>22</v>
      </c>
      <c r="E957" t="s">
        <v>1447</v>
      </c>
      <c r="F957" t="s">
        <v>1959</v>
      </c>
      <c r="G957" t="s">
        <v>1748</v>
      </c>
      <c r="H957" t="s">
        <v>2279</v>
      </c>
      <c r="I957">
        <v>3</v>
      </c>
      <c r="J957" t="s">
        <v>2279</v>
      </c>
      <c r="K957" t="s">
        <v>2279</v>
      </c>
      <c r="L957" t="s">
        <v>2279</v>
      </c>
      <c r="M957" t="s">
        <v>2279</v>
      </c>
      <c r="N957" t="s">
        <v>2279</v>
      </c>
      <c r="O957" s="190" t="str">
        <f>"["&amp;$C957&amp;"]["&amp;$D957&amp;"]["&amp;$F957&amp;"]"</f>
        <v>[S06_AccredCertVerifiersAnnexI][22][NumberAccredited]</v>
      </c>
    </row>
    <row r="958" spans="1:15" x14ac:dyDescent="0.3">
      <c r="A958" t="s">
        <v>2277</v>
      </c>
      <c r="B958" t="s">
        <v>1951</v>
      </c>
      <c r="C958" t="s">
        <v>1957</v>
      </c>
      <c r="D958">
        <v>23</v>
      </c>
      <c r="E958" t="s">
        <v>1447</v>
      </c>
      <c r="F958" t="s">
        <v>1959</v>
      </c>
      <c r="G958" t="s">
        <v>1748</v>
      </c>
      <c r="H958" t="s">
        <v>2279</v>
      </c>
      <c r="I958">
        <v>3</v>
      </c>
      <c r="J958" t="s">
        <v>2279</v>
      </c>
      <c r="K958" t="s">
        <v>2279</v>
      </c>
      <c r="L958" t="s">
        <v>2279</v>
      </c>
      <c r="M958" t="s">
        <v>2279</v>
      </c>
      <c r="N958" t="s">
        <v>2279</v>
      </c>
      <c r="O958" s="190" t="str">
        <f>"["&amp;$C958&amp;"]["&amp;$D958&amp;"]["&amp;$F958&amp;"]"</f>
        <v>[S06_AccredCertVerifiersAnnexI][23][NumberAccredited]</v>
      </c>
    </row>
    <row r="959" spans="1:15" x14ac:dyDescent="0.3">
      <c r="A959" t="s">
        <v>2277</v>
      </c>
      <c r="B959" t="s">
        <v>1951</v>
      </c>
      <c r="C959" t="s">
        <v>1957</v>
      </c>
      <c r="D959">
        <v>24</v>
      </c>
      <c r="E959" t="s">
        <v>1447</v>
      </c>
      <c r="F959" t="s">
        <v>1959</v>
      </c>
      <c r="G959" t="s">
        <v>1748</v>
      </c>
      <c r="H959" t="s">
        <v>2279</v>
      </c>
      <c r="I959">
        <v>3</v>
      </c>
      <c r="J959" t="s">
        <v>2279</v>
      </c>
      <c r="K959" t="s">
        <v>2279</v>
      </c>
      <c r="L959" t="s">
        <v>2279</v>
      </c>
      <c r="M959" t="s">
        <v>2279</v>
      </c>
      <c r="N959" t="s">
        <v>2279</v>
      </c>
      <c r="O959" s="190" t="str">
        <f>"["&amp;$C959&amp;"]["&amp;$D959&amp;"]["&amp;$F959&amp;"]"</f>
        <v>[S06_AccredCertVerifiersAnnexI][24][NumberAccredited]</v>
      </c>
    </row>
    <row r="960" spans="1:15" x14ac:dyDescent="0.3">
      <c r="A960" t="s">
        <v>2277</v>
      </c>
      <c r="B960" t="s">
        <v>1951</v>
      </c>
      <c r="C960" t="s">
        <v>1957</v>
      </c>
      <c r="D960">
        <v>25</v>
      </c>
      <c r="E960" t="s">
        <v>1447</v>
      </c>
      <c r="F960" t="s">
        <v>1959</v>
      </c>
      <c r="G960" t="s">
        <v>1748</v>
      </c>
      <c r="H960" t="s">
        <v>2279</v>
      </c>
      <c r="I960">
        <v>3</v>
      </c>
      <c r="J960" t="s">
        <v>2279</v>
      </c>
      <c r="K960" t="s">
        <v>2279</v>
      </c>
      <c r="L960" t="s">
        <v>2279</v>
      </c>
      <c r="M960" t="s">
        <v>2279</v>
      </c>
      <c r="N960" t="s">
        <v>2279</v>
      </c>
      <c r="O960" s="190" t="str">
        <f>"["&amp;$C960&amp;"]["&amp;$D960&amp;"]["&amp;$F960&amp;"]"</f>
        <v>[S06_AccredCertVerifiersAnnexI][25][NumberAccredited]</v>
      </c>
    </row>
    <row r="961" spans="1:15" x14ac:dyDescent="0.3">
      <c r="A961" t="s">
        <v>2277</v>
      </c>
      <c r="B961" t="s">
        <v>1951</v>
      </c>
      <c r="C961" t="s">
        <v>1957</v>
      </c>
      <c r="D961">
        <v>26</v>
      </c>
      <c r="E961" t="s">
        <v>1447</v>
      </c>
      <c r="F961" t="s">
        <v>1959</v>
      </c>
      <c r="G961" t="s">
        <v>1748</v>
      </c>
      <c r="H961" t="s">
        <v>2279</v>
      </c>
      <c r="I961">
        <v>1</v>
      </c>
      <c r="J961" t="s">
        <v>2279</v>
      </c>
      <c r="K961" t="s">
        <v>2279</v>
      </c>
      <c r="L961" t="s">
        <v>2279</v>
      </c>
      <c r="M961" t="s">
        <v>2279</v>
      </c>
      <c r="N961" t="s">
        <v>2279</v>
      </c>
      <c r="O961" s="190" t="str">
        <f>"["&amp;$C961&amp;"]["&amp;$D961&amp;"]["&amp;$F961&amp;"]"</f>
        <v>[S06_AccredCertVerifiersAnnexI][26][NumberAccredited]</v>
      </c>
    </row>
    <row r="962" spans="1:15" x14ac:dyDescent="0.3">
      <c r="A962" t="s">
        <v>2277</v>
      </c>
      <c r="B962" t="s">
        <v>1951</v>
      </c>
      <c r="C962" t="s">
        <v>1957</v>
      </c>
      <c r="D962">
        <v>27</v>
      </c>
      <c r="E962" t="s">
        <v>1447</v>
      </c>
      <c r="F962" t="s">
        <v>1959</v>
      </c>
      <c r="G962" t="s">
        <v>1748</v>
      </c>
      <c r="H962" t="s">
        <v>2279</v>
      </c>
      <c r="I962">
        <v>5</v>
      </c>
      <c r="J962" t="s">
        <v>2279</v>
      </c>
      <c r="K962" t="s">
        <v>2279</v>
      </c>
      <c r="L962" t="s">
        <v>2279</v>
      </c>
      <c r="M962" t="s">
        <v>2279</v>
      </c>
      <c r="N962" t="s">
        <v>2279</v>
      </c>
      <c r="O962" s="190" t="str">
        <f>"["&amp;$C962&amp;"]["&amp;$D962&amp;"]["&amp;$F962&amp;"]"</f>
        <v>[S06_AccredCertVerifiersAnnexI][27][NumberAccredited]</v>
      </c>
    </row>
    <row r="963" spans="1:15" x14ac:dyDescent="0.3">
      <c r="A963" t="s">
        <v>2277</v>
      </c>
      <c r="B963" t="s">
        <v>1951</v>
      </c>
      <c r="C963" t="s">
        <v>1957</v>
      </c>
      <c r="D963">
        <v>1</v>
      </c>
      <c r="E963" t="s">
        <v>1447</v>
      </c>
      <c r="F963" t="s">
        <v>1960</v>
      </c>
      <c r="G963" t="s">
        <v>1748</v>
      </c>
      <c r="H963" t="s">
        <v>2279</v>
      </c>
      <c r="I963">
        <v>0</v>
      </c>
      <c r="J963" t="s">
        <v>2279</v>
      </c>
      <c r="K963" t="s">
        <v>2279</v>
      </c>
      <c r="L963" t="s">
        <v>2279</v>
      </c>
      <c r="M963" t="s">
        <v>2279</v>
      </c>
      <c r="N963" t="s">
        <v>2279</v>
      </c>
      <c r="O963" s="190" t="str">
        <f>"["&amp;$C963&amp;"]["&amp;$D963&amp;"]["&amp;$F963&amp;"]"</f>
        <v>[S06_AccredCertVerifiersAnnexI][1][NumberCertified]</v>
      </c>
    </row>
    <row r="964" spans="1:15" x14ac:dyDescent="0.3">
      <c r="A964" t="s">
        <v>2277</v>
      </c>
      <c r="B964" t="s">
        <v>1951</v>
      </c>
      <c r="C964" t="s">
        <v>1957</v>
      </c>
      <c r="D964">
        <v>2</v>
      </c>
      <c r="E964" t="s">
        <v>1447</v>
      </c>
      <c r="F964" t="s">
        <v>1960</v>
      </c>
      <c r="G964" t="s">
        <v>1748</v>
      </c>
      <c r="H964" t="s">
        <v>2279</v>
      </c>
      <c r="I964">
        <v>0</v>
      </c>
      <c r="J964" t="s">
        <v>2279</v>
      </c>
      <c r="K964" t="s">
        <v>2279</v>
      </c>
      <c r="L964" t="s">
        <v>2279</v>
      </c>
      <c r="M964" t="s">
        <v>2279</v>
      </c>
      <c r="N964" t="s">
        <v>2279</v>
      </c>
      <c r="O964" s="190" t="str">
        <f>"["&amp;$C964&amp;"]["&amp;$D964&amp;"]["&amp;$F964&amp;"]"</f>
        <v>[S06_AccredCertVerifiersAnnexI][2][NumberCertified]</v>
      </c>
    </row>
    <row r="965" spans="1:15" x14ac:dyDescent="0.3">
      <c r="A965" t="s">
        <v>2277</v>
      </c>
      <c r="B965" t="s">
        <v>1951</v>
      </c>
      <c r="C965" t="s">
        <v>1957</v>
      </c>
      <c r="D965">
        <v>3</v>
      </c>
      <c r="E965" t="s">
        <v>1447</v>
      </c>
      <c r="F965" t="s">
        <v>1960</v>
      </c>
      <c r="G965" t="s">
        <v>1748</v>
      </c>
      <c r="H965" t="s">
        <v>2279</v>
      </c>
      <c r="I965">
        <v>0</v>
      </c>
      <c r="J965" t="s">
        <v>2279</v>
      </c>
      <c r="K965" t="s">
        <v>2279</v>
      </c>
      <c r="L965" t="s">
        <v>2279</v>
      </c>
      <c r="M965" t="s">
        <v>2279</v>
      </c>
      <c r="N965" t="s">
        <v>2279</v>
      </c>
      <c r="O965" s="190" t="str">
        <f>"["&amp;$C965&amp;"]["&amp;$D965&amp;"]["&amp;$F965&amp;"]"</f>
        <v>[S06_AccredCertVerifiersAnnexI][3][NumberCertified]</v>
      </c>
    </row>
    <row r="966" spans="1:15" x14ac:dyDescent="0.3">
      <c r="A966" t="s">
        <v>2277</v>
      </c>
      <c r="B966" t="s">
        <v>1951</v>
      </c>
      <c r="C966" t="s">
        <v>1957</v>
      </c>
      <c r="D966">
        <v>4</v>
      </c>
      <c r="E966" t="s">
        <v>1447</v>
      </c>
      <c r="F966" t="s">
        <v>1960</v>
      </c>
      <c r="G966" t="s">
        <v>1748</v>
      </c>
      <c r="H966" t="s">
        <v>2279</v>
      </c>
      <c r="I966">
        <v>0</v>
      </c>
      <c r="J966" t="s">
        <v>2279</v>
      </c>
      <c r="K966" t="s">
        <v>2279</v>
      </c>
      <c r="L966" t="s">
        <v>2279</v>
      </c>
      <c r="M966" t="s">
        <v>2279</v>
      </c>
      <c r="N966" t="s">
        <v>2279</v>
      </c>
      <c r="O966" s="190" t="str">
        <f>"["&amp;$C966&amp;"]["&amp;$D966&amp;"]["&amp;$F966&amp;"]"</f>
        <v>[S06_AccredCertVerifiersAnnexI][4][NumberCertified]</v>
      </c>
    </row>
    <row r="967" spans="1:15" x14ac:dyDescent="0.3">
      <c r="A967" t="s">
        <v>2277</v>
      </c>
      <c r="B967" t="s">
        <v>1951</v>
      </c>
      <c r="C967" t="s">
        <v>1957</v>
      </c>
      <c r="D967">
        <v>5</v>
      </c>
      <c r="E967" t="s">
        <v>1447</v>
      </c>
      <c r="F967" t="s">
        <v>1960</v>
      </c>
      <c r="G967" t="s">
        <v>1748</v>
      </c>
      <c r="H967" t="s">
        <v>2279</v>
      </c>
      <c r="I967">
        <v>0</v>
      </c>
      <c r="J967" t="s">
        <v>2279</v>
      </c>
      <c r="K967" t="s">
        <v>2279</v>
      </c>
      <c r="L967" t="s">
        <v>2279</v>
      </c>
      <c r="M967" t="s">
        <v>2279</v>
      </c>
      <c r="N967" t="s">
        <v>2279</v>
      </c>
      <c r="O967" s="190" t="str">
        <f>"["&amp;$C967&amp;"]["&amp;$D967&amp;"]["&amp;$F967&amp;"]"</f>
        <v>[S06_AccredCertVerifiersAnnexI][5][NumberCertified]</v>
      </c>
    </row>
    <row r="968" spans="1:15" x14ac:dyDescent="0.3">
      <c r="A968" t="s">
        <v>2277</v>
      </c>
      <c r="B968" t="s">
        <v>1951</v>
      </c>
      <c r="C968" t="s">
        <v>1957</v>
      </c>
      <c r="D968">
        <v>6</v>
      </c>
      <c r="E968" t="s">
        <v>1447</v>
      </c>
      <c r="F968" t="s">
        <v>1960</v>
      </c>
      <c r="G968" t="s">
        <v>1748</v>
      </c>
      <c r="H968" t="s">
        <v>2279</v>
      </c>
      <c r="I968">
        <v>0</v>
      </c>
      <c r="J968" t="s">
        <v>2279</v>
      </c>
      <c r="K968" t="s">
        <v>2279</v>
      </c>
      <c r="L968" t="s">
        <v>2279</v>
      </c>
      <c r="M968" t="s">
        <v>2279</v>
      </c>
      <c r="N968" t="s">
        <v>2279</v>
      </c>
      <c r="O968" s="190" t="str">
        <f>"["&amp;$C968&amp;"]["&amp;$D968&amp;"]["&amp;$F968&amp;"]"</f>
        <v>[S06_AccredCertVerifiersAnnexI][6][NumberCertified]</v>
      </c>
    </row>
    <row r="969" spans="1:15" x14ac:dyDescent="0.3">
      <c r="A969" t="s">
        <v>2277</v>
      </c>
      <c r="B969" t="s">
        <v>1951</v>
      </c>
      <c r="C969" t="s">
        <v>1957</v>
      </c>
      <c r="D969">
        <v>7</v>
      </c>
      <c r="E969" t="s">
        <v>1447</v>
      </c>
      <c r="F969" t="s">
        <v>1960</v>
      </c>
      <c r="G969" t="s">
        <v>1748</v>
      </c>
      <c r="H969" t="s">
        <v>2279</v>
      </c>
      <c r="I969">
        <v>0</v>
      </c>
      <c r="J969" t="s">
        <v>2279</v>
      </c>
      <c r="K969" t="s">
        <v>2279</v>
      </c>
      <c r="L969" t="s">
        <v>2279</v>
      </c>
      <c r="M969" t="s">
        <v>2279</v>
      </c>
      <c r="N969" t="s">
        <v>2279</v>
      </c>
      <c r="O969" s="190" t="str">
        <f>"["&amp;$C969&amp;"]["&amp;$D969&amp;"]["&amp;$F969&amp;"]"</f>
        <v>[S06_AccredCertVerifiersAnnexI][7][NumberCertified]</v>
      </c>
    </row>
    <row r="970" spans="1:15" x14ac:dyDescent="0.3">
      <c r="A970" t="s">
        <v>2277</v>
      </c>
      <c r="B970" t="s">
        <v>1951</v>
      </c>
      <c r="C970" t="s">
        <v>1957</v>
      </c>
      <c r="D970">
        <v>8</v>
      </c>
      <c r="E970" t="s">
        <v>1447</v>
      </c>
      <c r="F970" t="s">
        <v>1960</v>
      </c>
      <c r="G970" t="s">
        <v>1748</v>
      </c>
      <c r="H970" t="s">
        <v>2279</v>
      </c>
      <c r="I970">
        <v>0</v>
      </c>
      <c r="J970" t="s">
        <v>2279</v>
      </c>
      <c r="K970" t="s">
        <v>2279</v>
      </c>
      <c r="L970" t="s">
        <v>2279</v>
      </c>
      <c r="M970" t="s">
        <v>2279</v>
      </c>
      <c r="N970" t="s">
        <v>2279</v>
      </c>
      <c r="O970" s="190" t="str">
        <f>"["&amp;$C970&amp;"]["&amp;$D970&amp;"]["&amp;$F970&amp;"]"</f>
        <v>[S06_AccredCertVerifiersAnnexI][8][NumberCertified]</v>
      </c>
    </row>
    <row r="971" spans="1:15" x14ac:dyDescent="0.3">
      <c r="A971" t="s">
        <v>2277</v>
      </c>
      <c r="B971" t="s">
        <v>1951</v>
      </c>
      <c r="C971" t="s">
        <v>1957</v>
      </c>
      <c r="D971">
        <v>9</v>
      </c>
      <c r="E971" t="s">
        <v>1447</v>
      </c>
      <c r="F971" t="s">
        <v>1960</v>
      </c>
      <c r="G971" t="s">
        <v>1748</v>
      </c>
      <c r="H971" t="s">
        <v>2279</v>
      </c>
      <c r="I971">
        <v>0</v>
      </c>
      <c r="J971" t="s">
        <v>2279</v>
      </c>
      <c r="K971" t="s">
        <v>2279</v>
      </c>
      <c r="L971" t="s">
        <v>2279</v>
      </c>
      <c r="M971" t="s">
        <v>2279</v>
      </c>
      <c r="N971" t="s">
        <v>2279</v>
      </c>
      <c r="O971" s="190" t="str">
        <f>"["&amp;$C971&amp;"]["&amp;$D971&amp;"]["&amp;$F971&amp;"]"</f>
        <v>[S06_AccredCertVerifiersAnnexI][9][NumberCertified]</v>
      </c>
    </row>
    <row r="972" spans="1:15" x14ac:dyDescent="0.3">
      <c r="A972" t="s">
        <v>2277</v>
      </c>
      <c r="B972" t="s">
        <v>1951</v>
      </c>
      <c r="C972" t="s">
        <v>1957</v>
      </c>
      <c r="D972">
        <v>10</v>
      </c>
      <c r="E972" t="s">
        <v>1447</v>
      </c>
      <c r="F972" t="s">
        <v>1960</v>
      </c>
      <c r="G972" t="s">
        <v>1748</v>
      </c>
      <c r="H972" t="s">
        <v>2279</v>
      </c>
      <c r="I972">
        <v>0</v>
      </c>
      <c r="J972" t="s">
        <v>2279</v>
      </c>
      <c r="K972" t="s">
        <v>2279</v>
      </c>
      <c r="L972" t="s">
        <v>2279</v>
      </c>
      <c r="M972" t="s">
        <v>2279</v>
      </c>
      <c r="N972" t="s">
        <v>2279</v>
      </c>
      <c r="O972" s="190" t="str">
        <f>"["&amp;$C972&amp;"]["&amp;$D972&amp;"]["&amp;$F972&amp;"]"</f>
        <v>[S06_AccredCertVerifiersAnnexI][10][NumberCertified]</v>
      </c>
    </row>
    <row r="973" spans="1:15" x14ac:dyDescent="0.3">
      <c r="A973" t="s">
        <v>2277</v>
      </c>
      <c r="B973" t="s">
        <v>1951</v>
      </c>
      <c r="C973" t="s">
        <v>1957</v>
      </c>
      <c r="D973">
        <v>11</v>
      </c>
      <c r="E973" t="s">
        <v>1447</v>
      </c>
      <c r="F973" t="s">
        <v>1960</v>
      </c>
      <c r="G973" t="s">
        <v>1748</v>
      </c>
      <c r="H973" t="s">
        <v>2279</v>
      </c>
      <c r="I973">
        <v>0</v>
      </c>
      <c r="J973" t="s">
        <v>2279</v>
      </c>
      <c r="K973" t="s">
        <v>2279</v>
      </c>
      <c r="L973" t="s">
        <v>2279</v>
      </c>
      <c r="M973" t="s">
        <v>2279</v>
      </c>
      <c r="N973" t="s">
        <v>2279</v>
      </c>
      <c r="O973" s="190" t="str">
        <f>"["&amp;$C973&amp;"]["&amp;$D973&amp;"]["&amp;$F973&amp;"]"</f>
        <v>[S06_AccredCertVerifiersAnnexI][11][NumberCertified]</v>
      </c>
    </row>
    <row r="974" spans="1:15" x14ac:dyDescent="0.3">
      <c r="A974" t="s">
        <v>2277</v>
      </c>
      <c r="B974" t="s">
        <v>1951</v>
      </c>
      <c r="C974" t="s">
        <v>1957</v>
      </c>
      <c r="D974">
        <v>12</v>
      </c>
      <c r="E974" t="s">
        <v>1447</v>
      </c>
      <c r="F974" t="s">
        <v>1960</v>
      </c>
      <c r="G974" t="s">
        <v>1748</v>
      </c>
      <c r="H974" t="s">
        <v>2279</v>
      </c>
      <c r="I974">
        <v>0</v>
      </c>
      <c r="J974" t="s">
        <v>2279</v>
      </c>
      <c r="K974" t="s">
        <v>2279</v>
      </c>
      <c r="L974" t="s">
        <v>2279</v>
      </c>
      <c r="M974" t="s">
        <v>2279</v>
      </c>
      <c r="N974" t="s">
        <v>2279</v>
      </c>
      <c r="O974" s="190" t="str">
        <f>"["&amp;$C974&amp;"]["&amp;$D974&amp;"]["&amp;$F974&amp;"]"</f>
        <v>[S06_AccredCertVerifiersAnnexI][12][NumberCertified]</v>
      </c>
    </row>
    <row r="975" spans="1:15" x14ac:dyDescent="0.3">
      <c r="A975" t="s">
        <v>2277</v>
      </c>
      <c r="B975" t="s">
        <v>1951</v>
      </c>
      <c r="C975" t="s">
        <v>1957</v>
      </c>
      <c r="D975">
        <v>13</v>
      </c>
      <c r="E975" t="s">
        <v>1447</v>
      </c>
      <c r="F975" t="s">
        <v>1960</v>
      </c>
      <c r="G975" t="s">
        <v>1748</v>
      </c>
      <c r="H975" t="s">
        <v>2279</v>
      </c>
      <c r="I975">
        <v>0</v>
      </c>
      <c r="J975" t="s">
        <v>2279</v>
      </c>
      <c r="K975" t="s">
        <v>2279</v>
      </c>
      <c r="L975" t="s">
        <v>2279</v>
      </c>
      <c r="M975" t="s">
        <v>2279</v>
      </c>
      <c r="N975" t="s">
        <v>2279</v>
      </c>
      <c r="O975" s="190" t="str">
        <f>"["&amp;$C975&amp;"]["&amp;$D975&amp;"]["&amp;$F975&amp;"]"</f>
        <v>[S06_AccredCertVerifiersAnnexI][13][NumberCertified]</v>
      </c>
    </row>
    <row r="976" spans="1:15" x14ac:dyDescent="0.3">
      <c r="A976" t="s">
        <v>2277</v>
      </c>
      <c r="B976" t="s">
        <v>1951</v>
      </c>
      <c r="C976" t="s">
        <v>1957</v>
      </c>
      <c r="D976">
        <v>14</v>
      </c>
      <c r="E976" t="s">
        <v>1447</v>
      </c>
      <c r="F976" t="s">
        <v>1960</v>
      </c>
      <c r="G976" t="s">
        <v>1748</v>
      </c>
      <c r="H976" t="s">
        <v>2279</v>
      </c>
      <c r="I976">
        <v>0</v>
      </c>
      <c r="J976" t="s">
        <v>2279</v>
      </c>
      <c r="K976" t="s">
        <v>2279</v>
      </c>
      <c r="L976" t="s">
        <v>2279</v>
      </c>
      <c r="M976" t="s">
        <v>2279</v>
      </c>
      <c r="N976" t="s">
        <v>2279</v>
      </c>
      <c r="O976" s="190" t="str">
        <f>"["&amp;$C976&amp;"]["&amp;$D976&amp;"]["&amp;$F976&amp;"]"</f>
        <v>[S06_AccredCertVerifiersAnnexI][14][NumberCertified]</v>
      </c>
    </row>
    <row r="977" spans="1:15" x14ac:dyDescent="0.3">
      <c r="A977" t="s">
        <v>2277</v>
      </c>
      <c r="B977" t="s">
        <v>1951</v>
      </c>
      <c r="C977" t="s">
        <v>1957</v>
      </c>
      <c r="D977">
        <v>15</v>
      </c>
      <c r="E977" t="s">
        <v>1447</v>
      </c>
      <c r="F977" t="s">
        <v>1960</v>
      </c>
      <c r="G977" t="s">
        <v>1748</v>
      </c>
      <c r="H977" t="s">
        <v>2279</v>
      </c>
      <c r="I977">
        <v>0</v>
      </c>
      <c r="J977" t="s">
        <v>2279</v>
      </c>
      <c r="K977" t="s">
        <v>2279</v>
      </c>
      <c r="L977" t="s">
        <v>2279</v>
      </c>
      <c r="M977" t="s">
        <v>2279</v>
      </c>
      <c r="N977" t="s">
        <v>2279</v>
      </c>
      <c r="O977" s="190" t="str">
        <f>"["&amp;$C977&amp;"]["&amp;$D977&amp;"]["&amp;$F977&amp;"]"</f>
        <v>[S06_AccredCertVerifiersAnnexI][15][NumberCertified]</v>
      </c>
    </row>
    <row r="978" spans="1:15" x14ac:dyDescent="0.3">
      <c r="A978" t="s">
        <v>2277</v>
      </c>
      <c r="B978" t="s">
        <v>1951</v>
      </c>
      <c r="C978" t="s">
        <v>1957</v>
      </c>
      <c r="D978">
        <v>16</v>
      </c>
      <c r="E978" t="s">
        <v>1447</v>
      </c>
      <c r="F978" t="s">
        <v>1960</v>
      </c>
      <c r="G978" t="s">
        <v>1748</v>
      </c>
      <c r="H978" t="s">
        <v>2279</v>
      </c>
      <c r="I978">
        <v>0</v>
      </c>
      <c r="J978" t="s">
        <v>2279</v>
      </c>
      <c r="K978" t="s">
        <v>2279</v>
      </c>
      <c r="L978" t="s">
        <v>2279</v>
      </c>
      <c r="M978" t="s">
        <v>2279</v>
      </c>
      <c r="N978" t="s">
        <v>2279</v>
      </c>
      <c r="O978" s="190" t="str">
        <f>"["&amp;$C978&amp;"]["&amp;$D978&amp;"]["&amp;$F978&amp;"]"</f>
        <v>[S06_AccredCertVerifiersAnnexI][16][NumberCertified]</v>
      </c>
    </row>
    <row r="979" spans="1:15" x14ac:dyDescent="0.3">
      <c r="A979" t="s">
        <v>2277</v>
      </c>
      <c r="B979" t="s">
        <v>1951</v>
      </c>
      <c r="C979" t="s">
        <v>1957</v>
      </c>
      <c r="D979">
        <v>17</v>
      </c>
      <c r="E979" t="s">
        <v>1447</v>
      </c>
      <c r="F979" t="s">
        <v>1960</v>
      </c>
      <c r="G979" t="s">
        <v>1748</v>
      </c>
      <c r="H979" t="s">
        <v>2279</v>
      </c>
      <c r="I979">
        <v>0</v>
      </c>
      <c r="J979" t="s">
        <v>2279</v>
      </c>
      <c r="K979" t="s">
        <v>2279</v>
      </c>
      <c r="L979" t="s">
        <v>2279</v>
      </c>
      <c r="M979" t="s">
        <v>2279</v>
      </c>
      <c r="N979" t="s">
        <v>2279</v>
      </c>
      <c r="O979" s="190" t="str">
        <f>"["&amp;$C979&amp;"]["&amp;$D979&amp;"]["&amp;$F979&amp;"]"</f>
        <v>[S06_AccredCertVerifiersAnnexI][17][NumberCertified]</v>
      </c>
    </row>
    <row r="980" spans="1:15" x14ac:dyDescent="0.3">
      <c r="A980" t="s">
        <v>2277</v>
      </c>
      <c r="B980" t="s">
        <v>1951</v>
      </c>
      <c r="C980" t="s">
        <v>1957</v>
      </c>
      <c r="D980">
        <v>18</v>
      </c>
      <c r="E980" t="s">
        <v>1447</v>
      </c>
      <c r="F980" t="s">
        <v>1960</v>
      </c>
      <c r="G980" t="s">
        <v>1748</v>
      </c>
      <c r="H980" t="s">
        <v>2279</v>
      </c>
      <c r="I980">
        <v>0</v>
      </c>
      <c r="J980" t="s">
        <v>2279</v>
      </c>
      <c r="K980" t="s">
        <v>2279</v>
      </c>
      <c r="L980" t="s">
        <v>2279</v>
      </c>
      <c r="M980" t="s">
        <v>2279</v>
      </c>
      <c r="N980" t="s">
        <v>2279</v>
      </c>
      <c r="O980" s="190" t="str">
        <f>"["&amp;$C980&amp;"]["&amp;$D980&amp;"]["&amp;$F980&amp;"]"</f>
        <v>[S06_AccredCertVerifiersAnnexI][18][NumberCertified]</v>
      </c>
    </row>
    <row r="981" spans="1:15" x14ac:dyDescent="0.3">
      <c r="A981" t="s">
        <v>2277</v>
      </c>
      <c r="B981" t="s">
        <v>1951</v>
      </c>
      <c r="C981" t="s">
        <v>1957</v>
      </c>
      <c r="D981">
        <v>19</v>
      </c>
      <c r="E981" t="s">
        <v>1447</v>
      </c>
      <c r="F981" t="s">
        <v>1960</v>
      </c>
      <c r="G981" t="s">
        <v>1748</v>
      </c>
      <c r="H981" t="s">
        <v>2279</v>
      </c>
      <c r="I981">
        <v>0</v>
      </c>
      <c r="J981" t="s">
        <v>2279</v>
      </c>
      <c r="K981" t="s">
        <v>2279</v>
      </c>
      <c r="L981" t="s">
        <v>2279</v>
      </c>
      <c r="M981" t="s">
        <v>2279</v>
      </c>
      <c r="N981" t="s">
        <v>2279</v>
      </c>
      <c r="O981" s="190" t="str">
        <f>"["&amp;$C981&amp;"]["&amp;$D981&amp;"]["&amp;$F981&amp;"]"</f>
        <v>[S06_AccredCertVerifiersAnnexI][19][NumberCertified]</v>
      </c>
    </row>
    <row r="982" spans="1:15" x14ac:dyDescent="0.3">
      <c r="A982" t="s">
        <v>2277</v>
      </c>
      <c r="B982" t="s">
        <v>1951</v>
      </c>
      <c r="C982" t="s">
        <v>1957</v>
      </c>
      <c r="D982">
        <v>20</v>
      </c>
      <c r="E982" t="s">
        <v>1447</v>
      </c>
      <c r="F982" t="s">
        <v>1960</v>
      </c>
      <c r="G982" t="s">
        <v>1748</v>
      </c>
      <c r="H982" t="s">
        <v>2279</v>
      </c>
      <c r="I982">
        <v>0</v>
      </c>
      <c r="J982" t="s">
        <v>2279</v>
      </c>
      <c r="K982" t="s">
        <v>2279</v>
      </c>
      <c r="L982" t="s">
        <v>2279</v>
      </c>
      <c r="M982" t="s">
        <v>2279</v>
      </c>
      <c r="N982" t="s">
        <v>2279</v>
      </c>
      <c r="O982" s="190" t="str">
        <f>"["&amp;$C982&amp;"]["&amp;$D982&amp;"]["&amp;$F982&amp;"]"</f>
        <v>[S06_AccredCertVerifiersAnnexI][20][NumberCertified]</v>
      </c>
    </row>
    <row r="983" spans="1:15" x14ac:dyDescent="0.3">
      <c r="A983" t="s">
        <v>2277</v>
      </c>
      <c r="B983" t="s">
        <v>1951</v>
      </c>
      <c r="C983" t="s">
        <v>1957</v>
      </c>
      <c r="D983">
        <v>21</v>
      </c>
      <c r="E983" t="s">
        <v>1447</v>
      </c>
      <c r="F983" t="s">
        <v>1960</v>
      </c>
      <c r="G983" t="s">
        <v>1748</v>
      </c>
      <c r="H983" t="s">
        <v>2279</v>
      </c>
      <c r="I983">
        <v>0</v>
      </c>
      <c r="J983" t="s">
        <v>2279</v>
      </c>
      <c r="K983" t="s">
        <v>2279</v>
      </c>
      <c r="L983" t="s">
        <v>2279</v>
      </c>
      <c r="M983" t="s">
        <v>2279</v>
      </c>
      <c r="N983" t="s">
        <v>2279</v>
      </c>
      <c r="O983" s="190" t="str">
        <f>"["&amp;$C983&amp;"]["&amp;$D983&amp;"]["&amp;$F983&amp;"]"</f>
        <v>[S06_AccredCertVerifiersAnnexI][21][NumberCertified]</v>
      </c>
    </row>
    <row r="984" spans="1:15" x14ac:dyDescent="0.3">
      <c r="A984" t="s">
        <v>2277</v>
      </c>
      <c r="B984" t="s">
        <v>1951</v>
      </c>
      <c r="C984" t="s">
        <v>1957</v>
      </c>
      <c r="D984">
        <v>22</v>
      </c>
      <c r="E984" t="s">
        <v>1447</v>
      </c>
      <c r="F984" t="s">
        <v>1960</v>
      </c>
      <c r="G984" t="s">
        <v>1748</v>
      </c>
      <c r="H984" t="s">
        <v>2279</v>
      </c>
      <c r="I984">
        <v>0</v>
      </c>
      <c r="J984" t="s">
        <v>2279</v>
      </c>
      <c r="K984" t="s">
        <v>2279</v>
      </c>
      <c r="L984" t="s">
        <v>2279</v>
      </c>
      <c r="M984" t="s">
        <v>2279</v>
      </c>
      <c r="N984" t="s">
        <v>2279</v>
      </c>
      <c r="O984" s="190" t="str">
        <f>"["&amp;$C984&amp;"]["&amp;$D984&amp;"]["&amp;$F984&amp;"]"</f>
        <v>[S06_AccredCertVerifiersAnnexI][22][NumberCertified]</v>
      </c>
    </row>
    <row r="985" spans="1:15" x14ac:dyDescent="0.3">
      <c r="A985" t="s">
        <v>2277</v>
      </c>
      <c r="B985" t="s">
        <v>1951</v>
      </c>
      <c r="C985" t="s">
        <v>1957</v>
      </c>
      <c r="D985">
        <v>23</v>
      </c>
      <c r="E985" t="s">
        <v>1447</v>
      </c>
      <c r="F985" t="s">
        <v>1960</v>
      </c>
      <c r="G985" t="s">
        <v>1748</v>
      </c>
      <c r="H985" t="s">
        <v>2279</v>
      </c>
      <c r="I985">
        <v>0</v>
      </c>
      <c r="J985" t="s">
        <v>2279</v>
      </c>
      <c r="K985" t="s">
        <v>2279</v>
      </c>
      <c r="L985" t="s">
        <v>2279</v>
      </c>
      <c r="M985" t="s">
        <v>2279</v>
      </c>
      <c r="N985" t="s">
        <v>2279</v>
      </c>
      <c r="O985" s="190" t="str">
        <f>"["&amp;$C985&amp;"]["&amp;$D985&amp;"]["&amp;$F985&amp;"]"</f>
        <v>[S06_AccredCertVerifiersAnnexI][23][NumberCertified]</v>
      </c>
    </row>
    <row r="986" spans="1:15" x14ac:dyDescent="0.3">
      <c r="A986" t="s">
        <v>2277</v>
      </c>
      <c r="B986" t="s">
        <v>1951</v>
      </c>
      <c r="C986" t="s">
        <v>1957</v>
      </c>
      <c r="D986">
        <v>24</v>
      </c>
      <c r="E986" t="s">
        <v>1447</v>
      </c>
      <c r="F986" t="s">
        <v>1960</v>
      </c>
      <c r="G986" t="s">
        <v>1748</v>
      </c>
      <c r="H986" t="s">
        <v>2279</v>
      </c>
      <c r="I986">
        <v>0</v>
      </c>
      <c r="J986" t="s">
        <v>2279</v>
      </c>
      <c r="K986" t="s">
        <v>2279</v>
      </c>
      <c r="L986" t="s">
        <v>2279</v>
      </c>
      <c r="M986" t="s">
        <v>2279</v>
      </c>
      <c r="N986" t="s">
        <v>2279</v>
      </c>
      <c r="O986" s="190" t="str">
        <f>"["&amp;$C986&amp;"]["&amp;$D986&amp;"]["&amp;$F986&amp;"]"</f>
        <v>[S06_AccredCertVerifiersAnnexI][24][NumberCertified]</v>
      </c>
    </row>
    <row r="987" spans="1:15" x14ac:dyDescent="0.3">
      <c r="A987" t="s">
        <v>2277</v>
      </c>
      <c r="B987" t="s">
        <v>1951</v>
      </c>
      <c r="C987" t="s">
        <v>1957</v>
      </c>
      <c r="D987">
        <v>25</v>
      </c>
      <c r="E987" t="s">
        <v>1447</v>
      </c>
      <c r="F987" t="s">
        <v>1960</v>
      </c>
      <c r="G987" t="s">
        <v>1748</v>
      </c>
      <c r="H987" t="s">
        <v>2279</v>
      </c>
      <c r="I987">
        <v>0</v>
      </c>
      <c r="J987" t="s">
        <v>2279</v>
      </c>
      <c r="K987" t="s">
        <v>2279</v>
      </c>
      <c r="L987" t="s">
        <v>2279</v>
      </c>
      <c r="M987" t="s">
        <v>2279</v>
      </c>
      <c r="N987" t="s">
        <v>2279</v>
      </c>
      <c r="O987" s="190" t="str">
        <f>"["&amp;$C987&amp;"]["&amp;$D987&amp;"]["&amp;$F987&amp;"]"</f>
        <v>[S06_AccredCertVerifiersAnnexI][25][NumberCertified]</v>
      </c>
    </row>
    <row r="988" spans="1:15" x14ac:dyDescent="0.3">
      <c r="A988" t="s">
        <v>2277</v>
      </c>
      <c r="B988" t="s">
        <v>1951</v>
      </c>
      <c r="C988" t="s">
        <v>1957</v>
      </c>
      <c r="D988">
        <v>26</v>
      </c>
      <c r="E988" t="s">
        <v>1447</v>
      </c>
      <c r="F988" t="s">
        <v>1960</v>
      </c>
      <c r="G988" t="s">
        <v>1748</v>
      </c>
      <c r="H988" t="s">
        <v>2279</v>
      </c>
      <c r="I988">
        <v>0</v>
      </c>
      <c r="J988" t="s">
        <v>2279</v>
      </c>
      <c r="K988" t="s">
        <v>2279</v>
      </c>
      <c r="L988" t="s">
        <v>2279</v>
      </c>
      <c r="M988" t="s">
        <v>2279</v>
      </c>
      <c r="N988" t="s">
        <v>2279</v>
      </c>
      <c r="O988" s="190" t="str">
        <f>"["&amp;$C988&amp;"]["&amp;$D988&amp;"]["&amp;$F988&amp;"]"</f>
        <v>[S06_AccredCertVerifiersAnnexI][26][NumberCertified]</v>
      </c>
    </row>
    <row r="989" spans="1:15" x14ac:dyDescent="0.3">
      <c r="A989" t="s">
        <v>2277</v>
      </c>
      <c r="B989" t="s">
        <v>1951</v>
      </c>
      <c r="C989" t="s">
        <v>1957</v>
      </c>
      <c r="D989">
        <v>27</v>
      </c>
      <c r="E989" t="s">
        <v>1447</v>
      </c>
      <c r="F989" t="s">
        <v>1960</v>
      </c>
      <c r="G989" t="s">
        <v>1748</v>
      </c>
      <c r="H989" t="s">
        <v>2279</v>
      </c>
      <c r="I989">
        <v>0</v>
      </c>
      <c r="J989" t="s">
        <v>2279</v>
      </c>
      <c r="K989" t="s">
        <v>2279</v>
      </c>
      <c r="L989" t="s">
        <v>2279</v>
      </c>
      <c r="M989" t="s">
        <v>2279</v>
      </c>
      <c r="N989" t="s">
        <v>2279</v>
      </c>
      <c r="O989" s="190" t="str">
        <f>"["&amp;$C989&amp;"]["&amp;$D989&amp;"]["&amp;$F989&amp;"]"</f>
        <v>[S06_AccredCertVerifiersAnnexI][27][NumberCertified]</v>
      </c>
    </row>
    <row r="990" spans="1:15" x14ac:dyDescent="0.3">
      <c r="A990" t="s">
        <v>2277</v>
      </c>
      <c r="B990" t="s">
        <v>1961</v>
      </c>
      <c r="C990" t="s">
        <v>1962</v>
      </c>
      <c r="D990">
        <v>1</v>
      </c>
      <c r="E990" t="s">
        <v>1447</v>
      </c>
      <c r="F990" t="s">
        <v>1963</v>
      </c>
      <c r="G990" t="s">
        <v>1759</v>
      </c>
      <c r="H990" t="s">
        <v>2279</v>
      </c>
      <c r="I990" t="s">
        <v>2279</v>
      </c>
      <c r="J990" t="s">
        <v>2279</v>
      </c>
      <c r="K990" t="s">
        <v>2279</v>
      </c>
      <c r="L990" t="s">
        <v>1419</v>
      </c>
      <c r="M990" t="s">
        <v>2279</v>
      </c>
      <c r="N990" t="s">
        <v>2279</v>
      </c>
      <c r="O990" s="190" t="str">
        <f>"["&amp;$C990&amp;"]["&amp;$D990&amp;"]["&amp;$F990&amp;"]"</f>
        <v>[S06_ApplicationInformationExchangeRequirements1][1][FromOwnMS]</v>
      </c>
    </row>
    <row r="991" spans="1:15" x14ac:dyDescent="0.3">
      <c r="A991" t="s">
        <v>2277</v>
      </c>
      <c r="B991" t="s">
        <v>1961</v>
      </c>
      <c r="C991" t="s">
        <v>1962</v>
      </c>
      <c r="D991">
        <v>1</v>
      </c>
      <c r="E991" t="s">
        <v>1447</v>
      </c>
      <c r="F991" t="s">
        <v>1964</v>
      </c>
      <c r="G991" t="s">
        <v>1759</v>
      </c>
      <c r="H991" t="s">
        <v>2279</v>
      </c>
      <c r="I991" t="s">
        <v>2279</v>
      </c>
      <c r="J991" t="s">
        <v>2279</v>
      </c>
      <c r="K991" t="s">
        <v>2279</v>
      </c>
      <c r="L991" t="s">
        <v>1419</v>
      </c>
      <c r="M991" t="s">
        <v>2279</v>
      </c>
      <c r="N991" t="s">
        <v>2279</v>
      </c>
      <c r="O991" s="190" t="str">
        <f>"["&amp;$C991&amp;"]["&amp;$D991&amp;"]["&amp;$F991&amp;"]"</f>
        <v>[S06_ApplicationInformationExchangeRequirements1][1][FromOtherMS]</v>
      </c>
    </row>
    <row r="992" spans="1:15" x14ac:dyDescent="0.3">
      <c r="A992" t="s">
        <v>2277</v>
      </c>
      <c r="B992" t="s">
        <v>1961</v>
      </c>
      <c r="C992" t="s">
        <v>1962</v>
      </c>
      <c r="D992">
        <v>2</v>
      </c>
      <c r="E992" t="s">
        <v>1447</v>
      </c>
      <c r="F992" t="s">
        <v>1963</v>
      </c>
      <c r="G992" t="s">
        <v>1759</v>
      </c>
      <c r="H992" t="s">
        <v>2279</v>
      </c>
      <c r="I992" t="s">
        <v>2279</v>
      </c>
      <c r="J992" t="s">
        <v>2279</v>
      </c>
      <c r="K992" t="s">
        <v>2279</v>
      </c>
      <c r="L992" t="s">
        <v>1419</v>
      </c>
      <c r="M992" t="s">
        <v>2279</v>
      </c>
      <c r="N992" t="s">
        <v>2279</v>
      </c>
      <c r="O992" s="190" t="str">
        <f>"["&amp;$C992&amp;"]["&amp;$D992&amp;"]["&amp;$F992&amp;"]"</f>
        <v>[S06_ApplicationInformationExchangeRequirements1][2][FromOwnMS]</v>
      </c>
    </row>
    <row r="993" spans="1:15" x14ac:dyDescent="0.3">
      <c r="A993" t="s">
        <v>2277</v>
      </c>
      <c r="B993" t="s">
        <v>1961</v>
      </c>
      <c r="C993" t="s">
        <v>1962</v>
      </c>
      <c r="D993">
        <v>2</v>
      </c>
      <c r="E993" t="s">
        <v>1447</v>
      </c>
      <c r="F993" t="s">
        <v>1964</v>
      </c>
      <c r="G993" t="s">
        <v>1759</v>
      </c>
      <c r="H993" t="s">
        <v>2279</v>
      </c>
      <c r="I993" t="s">
        <v>2279</v>
      </c>
      <c r="J993" t="s">
        <v>2279</v>
      </c>
      <c r="K993" t="s">
        <v>2279</v>
      </c>
      <c r="L993" t="s">
        <v>1419</v>
      </c>
      <c r="M993" t="s">
        <v>2279</v>
      </c>
      <c r="N993" t="s">
        <v>2279</v>
      </c>
      <c r="O993" s="190" t="str">
        <f>"["&amp;$C993&amp;"]["&amp;$D993&amp;"]["&amp;$F993&amp;"]"</f>
        <v>[S06_ApplicationInformationExchangeRequirements1][2][FromOtherMS]</v>
      </c>
    </row>
    <row r="994" spans="1:15" x14ac:dyDescent="0.3">
      <c r="A994" t="s">
        <v>2277</v>
      </c>
      <c r="B994" t="s">
        <v>1961</v>
      </c>
      <c r="C994" t="s">
        <v>1962</v>
      </c>
      <c r="D994">
        <v>3</v>
      </c>
      <c r="E994" t="s">
        <v>1447</v>
      </c>
      <c r="F994" t="s">
        <v>1963</v>
      </c>
      <c r="G994" t="s">
        <v>1759</v>
      </c>
      <c r="H994" t="s">
        <v>2279</v>
      </c>
      <c r="I994" t="s">
        <v>2279</v>
      </c>
      <c r="J994" t="s">
        <v>2279</v>
      </c>
      <c r="K994" t="s">
        <v>2279</v>
      </c>
      <c r="L994" t="s">
        <v>1419</v>
      </c>
      <c r="M994" t="s">
        <v>2279</v>
      </c>
      <c r="N994" t="s">
        <v>2279</v>
      </c>
      <c r="O994" s="190" t="str">
        <f>"["&amp;$C994&amp;"]["&amp;$D994&amp;"]["&amp;$F994&amp;"]"</f>
        <v>[S06_ApplicationInformationExchangeRequirements1][3][FromOwnMS]</v>
      </c>
    </row>
    <row r="995" spans="1:15" x14ac:dyDescent="0.3">
      <c r="A995" t="s">
        <v>2277</v>
      </c>
      <c r="B995" t="s">
        <v>1961</v>
      </c>
      <c r="C995" t="s">
        <v>1962</v>
      </c>
      <c r="D995">
        <v>3</v>
      </c>
      <c r="E995" t="s">
        <v>1447</v>
      </c>
      <c r="F995" t="s">
        <v>1964</v>
      </c>
      <c r="G995" t="s">
        <v>1759</v>
      </c>
      <c r="H995" t="s">
        <v>2279</v>
      </c>
      <c r="I995" t="s">
        <v>2279</v>
      </c>
      <c r="J995" t="s">
        <v>2279</v>
      </c>
      <c r="K995" t="s">
        <v>2279</v>
      </c>
      <c r="L995" t="s">
        <v>1419</v>
      </c>
      <c r="M995" t="s">
        <v>2279</v>
      </c>
      <c r="N995" t="s">
        <v>2279</v>
      </c>
      <c r="O995" s="190" t="str">
        <f>"["&amp;$C995&amp;"]["&amp;$D995&amp;"]["&amp;$F995&amp;"]"</f>
        <v>[S06_ApplicationInformationExchangeRequirements1][3][FromOtherMS]</v>
      </c>
    </row>
    <row r="996" spans="1:15" x14ac:dyDescent="0.3">
      <c r="A996" t="s">
        <v>2277</v>
      </c>
      <c r="B996" t="s">
        <v>1961</v>
      </c>
      <c r="C996" t="s">
        <v>1965</v>
      </c>
      <c r="D996">
        <v>1</v>
      </c>
      <c r="E996" t="s">
        <v>1447</v>
      </c>
      <c r="F996" t="s">
        <v>1966</v>
      </c>
      <c r="G996" t="s">
        <v>1748</v>
      </c>
      <c r="H996" t="s">
        <v>2279</v>
      </c>
      <c r="I996">
        <v>0</v>
      </c>
      <c r="J996" t="s">
        <v>2279</v>
      </c>
      <c r="K996" t="s">
        <v>2279</v>
      </c>
      <c r="L996" t="s">
        <v>2279</v>
      </c>
      <c r="M996" t="s">
        <v>2279</v>
      </c>
      <c r="N996" t="s">
        <v>2279</v>
      </c>
      <c r="O996" s="190" t="str">
        <f>"["&amp;$C996&amp;"]["&amp;$D996&amp;"]["&amp;$F996&amp;"]"</f>
        <v>[S06_ApplicationInformationExchangeRequirements2][1][NumberImposedOnVerifiersSuspension]</v>
      </c>
    </row>
    <row r="997" spans="1:15" x14ac:dyDescent="0.3">
      <c r="A997" t="s">
        <v>2277</v>
      </c>
      <c r="B997" t="s">
        <v>1961</v>
      </c>
      <c r="C997" t="s">
        <v>1965</v>
      </c>
      <c r="D997">
        <v>1</v>
      </c>
      <c r="E997" t="s">
        <v>1447</v>
      </c>
      <c r="F997" t="s">
        <v>1967</v>
      </c>
      <c r="G997" t="s">
        <v>1748</v>
      </c>
      <c r="H997" t="s">
        <v>2279</v>
      </c>
      <c r="I997">
        <v>0</v>
      </c>
      <c r="J997" t="s">
        <v>2279</v>
      </c>
      <c r="K997" t="s">
        <v>2279</v>
      </c>
      <c r="L997" t="s">
        <v>2279</v>
      </c>
      <c r="M997" t="s">
        <v>2279</v>
      </c>
      <c r="N997" t="s">
        <v>2279</v>
      </c>
      <c r="O997" s="190" t="str">
        <f>"["&amp;$C997&amp;"]["&amp;$D997&amp;"]["&amp;$F997&amp;"]"</f>
        <v>[S06_ApplicationInformationExchangeRequirements2][1][NumberImposedOnVerifiersWithdrawal]</v>
      </c>
    </row>
    <row r="998" spans="1:15" x14ac:dyDescent="0.3">
      <c r="A998" t="s">
        <v>2277</v>
      </c>
      <c r="B998" t="s">
        <v>1961</v>
      </c>
      <c r="C998" t="s">
        <v>1965</v>
      </c>
      <c r="D998">
        <v>1</v>
      </c>
      <c r="E998" t="s">
        <v>1447</v>
      </c>
      <c r="F998" t="s">
        <v>1968</v>
      </c>
      <c r="G998" t="s">
        <v>1748</v>
      </c>
      <c r="H998" t="s">
        <v>2279</v>
      </c>
      <c r="I998">
        <v>0</v>
      </c>
      <c r="J998" t="s">
        <v>2279</v>
      </c>
      <c r="K998" t="s">
        <v>2279</v>
      </c>
      <c r="L998" t="s">
        <v>2279</v>
      </c>
      <c r="M998" t="s">
        <v>2279</v>
      </c>
      <c r="N998" t="s">
        <v>2279</v>
      </c>
      <c r="O998" s="190" t="str">
        <f>"["&amp;$C998&amp;"]["&amp;$D998&amp;"]["&amp;$F998&amp;"]"</f>
        <v>[S06_ApplicationInformationExchangeRequirements2][1][NumberImposedOnVerifiersReductionOfScope]</v>
      </c>
    </row>
    <row r="999" spans="1:15" x14ac:dyDescent="0.3">
      <c r="A999" t="s">
        <v>2277</v>
      </c>
      <c r="B999" t="s">
        <v>1961</v>
      </c>
      <c r="C999" t="s">
        <v>1969</v>
      </c>
      <c r="D999">
        <v>0</v>
      </c>
      <c r="E999" t="s">
        <v>1447</v>
      </c>
      <c r="F999" t="s">
        <v>1970</v>
      </c>
      <c r="G999" t="s">
        <v>1748</v>
      </c>
      <c r="H999" t="s">
        <v>2279</v>
      </c>
      <c r="I999">
        <v>0</v>
      </c>
      <c r="J999" t="s">
        <v>2279</v>
      </c>
      <c r="K999" t="s">
        <v>2279</v>
      </c>
      <c r="L999" t="s">
        <v>2279</v>
      </c>
      <c r="M999" t="s">
        <v>2279</v>
      </c>
      <c r="N999" t="s">
        <v>2279</v>
      </c>
      <c r="O999" s="190" t="str">
        <f>"["&amp;$C999&amp;"]["&amp;$D999&amp;"]["&amp;$F999&amp;"]"</f>
        <v>[S06_ApplicationInformationExchangeRequirements3][0][TimesSurveillanceRequested]</v>
      </c>
    </row>
    <row r="1000" spans="1:15" x14ac:dyDescent="0.3">
      <c r="A1000" t="s">
        <v>2277</v>
      </c>
      <c r="B1000" t="s">
        <v>1961</v>
      </c>
      <c r="C1000" t="s">
        <v>1971</v>
      </c>
      <c r="D1000">
        <v>1</v>
      </c>
      <c r="E1000" t="s">
        <v>1447</v>
      </c>
      <c r="F1000" t="s">
        <v>1972</v>
      </c>
      <c r="G1000" t="s">
        <v>1748</v>
      </c>
      <c r="H1000" t="s">
        <v>2279</v>
      </c>
      <c r="I1000">
        <v>0</v>
      </c>
      <c r="J1000" t="s">
        <v>2279</v>
      </c>
      <c r="K1000" t="s">
        <v>2279</v>
      </c>
      <c r="L1000" t="s">
        <v>2279</v>
      </c>
      <c r="M1000" t="s">
        <v>2279</v>
      </c>
      <c r="N1000" t="s">
        <v>2279</v>
      </c>
      <c r="O1000" s="190" t="str">
        <f>"["&amp;$C1000&amp;"]["&amp;$D1000&amp;"]["&amp;$F1000&amp;"]"</f>
        <v>[S06_ApplicationInformationExchangeRequirements4][1][NumberOfIssues]</v>
      </c>
    </row>
    <row r="1001" spans="1:15" x14ac:dyDescent="0.3">
      <c r="A1001" t="s">
        <v>2277</v>
      </c>
      <c r="B1001" t="s">
        <v>1961</v>
      </c>
      <c r="C1001" t="s">
        <v>1971</v>
      </c>
      <c r="D1001">
        <v>1</v>
      </c>
      <c r="E1001" t="s">
        <v>1447</v>
      </c>
      <c r="F1001" t="s">
        <v>1973</v>
      </c>
      <c r="G1001" t="s">
        <v>1748</v>
      </c>
      <c r="H1001" t="s">
        <v>2279</v>
      </c>
      <c r="I1001">
        <v>0</v>
      </c>
      <c r="J1001" t="s">
        <v>2279</v>
      </c>
      <c r="K1001" t="s">
        <v>2279</v>
      </c>
      <c r="L1001" t="s">
        <v>2279</v>
      </c>
      <c r="M1001" t="s">
        <v>2279</v>
      </c>
      <c r="N1001" t="s">
        <v>2279</v>
      </c>
      <c r="O1001" s="190" t="str">
        <f>"["&amp;$C1001&amp;"]["&amp;$D1001&amp;"]["&amp;$F1001&amp;"]"</f>
        <v>[S06_ApplicationInformationExchangeRequirements4][1][NumberOfIssuesResolved]</v>
      </c>
    </row>
    <row r="1002" spans="1:15" x14ac:dyDescent="0.3">
      <c r="A1002" t="s">
        <v>2277</v>
      </c>
      <c r="B1002" t="s">
        <v>1961</v>
      </c>
      <c r="C1002" t="s">
        <v>1971</v>
      </c>
      <c r="D1002">
        <v>1</v>
      </c>
      <c r="E1002" t="s">
        <v>1447</v>
      </c>
      <c r="F1002" t="s">
        <v>1974</v>
      </c>
      <c r="G1002" t="s">
        <v>1748</v>
      </c>
      <c r="H1002" t="s">
        <v>2279</v>
      </c>
      <c r="I1002">
        <v>0</v>
      </c>
      <c r="J1002" t="s">
        <v>2279</v>
      </c>
      <c r="K1002" t="s">
        <v>2279</v>
      </c>
      <c r="L1002" t="s">
        <v>2279</v>
      </c>
      <c r="M1002" t="s">
        <v>2279</v>
      </c>
      <c r="N1002" t="s">
        <v>2279</v>
      </c>
      <c r="O1002" s="190" t="str">
        <f>"["&amp;$C1002&amp;"]["&amp;$D1002&amp;"]["&amp;$F1002&amp;"]"</f>
        <v>[S06_ApplicationInformationExchangeRequirements4][1][NumberOfPriorIssuesResolved]</v>
      </c>
    </row>
    <row r="1003" spans="1:15" x14ac:dyDescent="0.3">
      <c r="A1003" t="s">
        <v>2277</v>
      </c>
      <c r="B1003" t="s">
        <v>1961</v>
      </c>
      <c r="C1003" t="s">
        <v>1971</v>
      </c>
      <c r="D1003">
        <v>3</v>
      </c>
      <c r="E1003" t="s">
        <v>1447</v>
      </c>
      <c r="F1003" t="s">
        <v>1972</v>
      </c>
      <c r="G1003" t="s">
        <v>1748</v>
      </c>
      <c r="H1003" t="s">
        <v>2279</v>
      </c>
      <c r="I1003">
        <v>0</v>
      </c>
      <c r="J1003" t="s">
        <v>2279</v>
      </c>
      <c r="K1003" t="s">
        <v>2279</v>
      </c>
      <c r="L1003" t="s">
        <v>2279</v>
      </c>
      <c r="M1003" t="s">
        <v>2279</v>
      </c>
      <c r="N1003" t="s">
        <v>2279</v>
      </c>
      <c r="O1003" s="190" t="str">
        <f>"["&amp;$C1003&amp;"]["&amp;$D1003&amp;"]["&amp;$F1003&amp;"]"</f>
        <v>[S06_ApplicationInformationExchangeRequirements4][3][NumberOfIssues]</v>
      </c>
    </row>
    <row r="1004" spans="1:15" x14ac:dyDescent="0.3">
      <c r="A1004" t="s">
        <v>2277</v>
      </c>
      <c r="B1004" t="s">
        <v>1961</v>
      </c>
      <c r="C1004" t="s">
        <v>1971</v>
      </c>
      <c r="D1004">
        <v>3</v>
      </c>
      <c r="E1004" t="s">
        <v>1447</v>
      </c>
      <c r="F1004" t="s">
        <v>1973</v>
      </c>
      <c r="G1004" t="s">
        <v>1748</v>
      </c>
      <c r="H1004" t="s">
        <v>2279</v>
      </c>
      <c r="I1004">
        <v>0</v>
      </c>
      <c r="J1004" t="s">
        <v>2279</v>
      </c>
      <c r="K1004" t="s">
        <v>2279</v>
      </c>
      <c r="L1004" t="s">
        <v>2279</v>
      </c>
      <c r="M1004" t="s">
        <v>2279</v>
      </c>
      <c r="N1004" t="s">
        <v>2279</v>
      </c>
      <c r="O1004" s="190" t="str">
        <f>"["&amp;$C1004&amp;"]["&amp;$D1004&amp;"]["&amp;$F1004&amp;"]"</f>
        <v>[S06_ApplicationInformationExchangeRequirements4][3][NumberOfIssuesResolved]</v>
      </c>
    </row>
    <row r="1005" spans="1:15" x14ac:dyDescent="0.3">
      <c r="A1005" t="s">
        <v>2277</v>
      </c>
      <c r="B1005" t="s">
        <v>1961</v>
      </c>
      <c r="C1005" t="s">
        <v>1971</v>
      </c>
      <c r="D1005">
        <v>3</v>
      </c>
      <c r="E1005" t="s">
        <v>1447</v>
      </c>
      <c r="F1005" t="s">
        <v>1974</v>
      </c>
      <c r="G1005" t="s">
        <v>1748</v>
      </c>
      <c r="H1005" t="s">
        <v>2279</v>
      </c>
      <c r="I1005">
        <v>0</v>
      </c>
      <c r="J1005" t="s">
        <v>2279</v>
      </c>
      <c r="K1005" t="s">
        <v>2279</v>
      </c>
      <c r="L1005" t="s">
        <v>2279</v>
      </c>
      <c r="M1005" t="s">
        <v>2279</v>
      </c>
      <c r="N1005" t="s">
        <v>2279</v>
      </c>
      <c r="O1005" s="190" t="str">
        <f>"["&amp;$C1005&amp;"]["&amp;$D1005&amp;"]["&amp;$F1005&amp;"]"</f>
        <v>[S06_ApplicationInformationExchangeRequirements4][3][NumberOfPriorIssuesResolved]</v>
      </c>
    </row>
    <row r="1006" spans="1:15" x14ac:dyDescent="0.3">
      <c r="A1006" t="s">
        <v>2277</v>
      </c>
      <c r="B1006" t="s">
        <v>1975</v>
      </c>
      <c r="C1006" t="s">
        <v>1976</v>
      </c>
      <c r="D1006">
        <v>1</v>
      </c>
      <c r="E1006" t="s">
        <v>1447</v>
      </c>
      <c r="F1006" t="s">
        <v>1868</v>
      </c>
      <c r="G1006" t="s">
        <v>1741</v>
      </c>
      <c r="H1006" t="s">
        <v>2382</v>
      </c>
      <c r="I1006" t="s">
        <v>2279</v>
      </c>
      <c r="J1006" t="s">
        <v>2279</v>
      </c>
      <c r="K1006" t="s">
        <v>2279</v>
      </c>
      <c r="L1006" t="s">
        <v>2279</v>
      </c>
      <c r="M1006" t="s">
        <v>2279</v>
      </c>
      <c r="N1006" t="s">
        <v>2279</v>
      </c>
      <c r="O1006" s="190" t="str">
        <f>"["&amp;$C1006&amp;"]["&amp;$D1006&amp;"]["&amp;$F1006&amp;"]"</f>
        <v>[S06_InstallationsConservativeEstimates][1][InstallationID]</v>
      </c>
    </row>
    <row r="1007" spans="1:15" x14ac:dyDescent="0.3">
      <c r="A1007" t="s">
        <v>2277</v>
      </c>
      <c r="B1007" t="s">
        <v>1975</v>
      </c>
      <c r="C1007" t="s">
        <v>1976</v>
      </c>
      <c r="D1007">
        <v>2</v>
      </c>
      <c r="E1007" t="s">
        <v>1447</v>
      </c>
      <c r="F1007" t="s">
        <v>1868</v>
      </c>
      <c r="G1007" t="s">
        <v>1741</v>
      </c>
      <c r="H1007" t="s">
        <v>2383</v>
      </c>
      <c r="I1007" t="s">
        <v>2279</v>
      </c>
      <c r="J1007" t="s">
        <v>2279</v>
      </c>
      <c r="K1007" t="s">
        <v>2279</v>
      </c>
      <c r="L1007" t="s">
        <v>2279</v>
      </c>
      <c r="M1007" t="s">
        <v>2279</v>
      </c>
      <c r="N1007" t="s">
        <v>2279</v>
      </c>
      <c r="O1007" s="190" t="str">
        <f>"["&amp;$C1007&amp;"]["&amp;$D1007&amp;"]["&amp;$F1007&amp;"]"</f>
        <v>[S06_InstallationsConservativeEstimates][2][InstallationID]</v>
      </c>
    </row>
    <row r="1008" spans="1:15" x14ac:dyDescent="0.3">
      <c r="A1008" t="s">
        <v>2277</v>
      </c>
      <c r="B1008" t="s">
        <v>1975</v>
      </c>
      <c r="C1008" t="s">
        <v>1976</v>
      </c>
      <c r="D1008">
        <v>3</v>
      </c>
      <c r="E1008" t="s">
        <v>1447</v>
      </c>
      <c r="F1008" t="s">
        <v>1868</v>
      </c>
      <c r="G1008" t="s">
        <v>1741</v>
      </c>
      <c r="H1008" t="s">
        <v>2384</v>
      </c>
      <c r="I1008" t="s">
        <v>2279</v>
      </c>
      <c r="J1008" t="s">
        <v>2279</v>
      </c>
      <c r="K1008" t="s">
        <v>2279</v>
      </c>
      <c r="L1008" t="s">
        <v>2279</v>
      </c>
      <c r="M1008" t="s">
        <v>2279</v>
      </c>
      <c r="N1008" t="s">
        <v>2279</v>
      </c>
      <c r="O1008" s="190" t="str">
        <f>"["&amp;$C1008&amp;"]["&amp;$D1008&amp;"]["&amp;$F1008&amp;"]"</f>
        <v>[S06_InstallationsConservativeEstimates][3][InstallationID]</v>
      </c>
    </row>
    <row r="1009" spans="1:15" x14ac:dyDescent="0.3">
      <c r="A1009" t="s">
        <v>2277</v>
      </c>
      <c r="B1009" t="s">
        <v>1975</v>
      </c>
      <c r="C1009" t="s">
        <v>1976</v>
      </c>
      <c r="D1009">
        <v>4</v>
      </c>
      <c r="E1009" t="s">
        <v>1447</v>
      </c>
      <c r="F1009" t="s">
        <v>1868</v>
      </c>
      <c r="G1009" t="s">
        <v>1741</v>
      </c>
      <c r="H1009" t="s">
        <v>2385</v>
      </c>
      <c r="I1009" t="s">
        <v>2279</v>
      </c>
      <c r="J1009" t="s">
        <v>2279</v>
      </c>
      <c r="K1009" t="s">
        <v>2279</v>
      </c>
      <c r="L1009" t="s">
        <v>2279</v>
      </c>
      <c r="M1009" t="s">
        <v>2279</v>
      </c>
      <c r="N1009" t="s">
        <v>2279</v>
      </c>
      <c r="O1009" s="190" t="str">
        <f>"["&amp;$C1009&amp;"]["&amp;$D1009&amp;"]["&amp;$F1009&amp;"]"</f>
        <v>[S06_InstallationsConservativeEstimates][4][InstallationID]</v>
      </c>
    </row>
    <row r="1010" spans="1:15" x14ac:dyDescent="0.3">
      <c r="A1010" t="s">
        <v>2277</v>
      </c>
      <c r="B1010" t="s">
        <v>1975</v>
      </c>
      <c r="C1010" t="s">
        <v>1976</v>
      </c>
      <c r="D1010">
        <v>1</v>
      </c>
      <c r="E1010" t="s">
        <v>1447</v>
      </c>
      <c r="F1010" t="s">
        <v>1977</v>
      </c>
      <c r="G1010" t="s">
        <v>1806</v>
      </c>
      <c r="H1010" t="s">
        <v>2279</v>
      </c>
      <c r="I1010" t="s">
        <v>2279</v>
      </c>
      <c r="J1010">
        <v>176</v>
      </c>
      <c r="K1010" t="s">
        <v>2279</v>
      </c>
      <c r="L1010" t="s">
        <v>2279</v>
      </c>
      <c r="M1010" t="s">
        <v>2279</v>
      </c>
      <c r="N1010" t="s">
        <v>2279</v>
      </c>
      <c r="O1010" s="190" t="str">
        <f>"["&amp;$C1010&amp;"]["&amp;$D1010&amp;"]["&amp;$F1010&amp;"]"</f>
        <v>[S06_InstallationsConservativeEstimates][1][InstallationAnnualEmissionstCO2e]</v>
      </c>
    </row>
    <row r="1011" spans="1:15" x14ac:dyDescent="0.3">
      <c r="A1011" t="s">
        <v>2277</v>
      </c>
      <c r="B1011" t="s">
        <v>1975</v>
      </c>
      <c r="C1011" t="s">
        <v>1976</v>
      </c>
      <c r="D1011">
        <v>2</v>
      </c>
      <c r="E1011" t="s">
        <v>1447</v>
      </c>
      <c r="F1011" t="s">
        <v>1977</v>
      </c>
      <c r="G1011" t="s">
        <v>1806</v>
      </c>
      <c r="H1011" t="s">
        <v>2279</v>
      </c>
      <c r="I1011" t="s">
        <v>2279</v>
      </c>
      <c r="J1011">
        <v>0</v>
      </c>
      <c r="K1011" t="s">
        <v>2279</v>
      </c>
      <c r="L1011" t="s">
        <v>2279</v>
      </c>
      <c r="M1011" t="s">
        <v>2279</v>
      </c>
      <c r="N1011" t="s">
        <v>2279</v>
      </c>
      <c r="O1011" s="190" t="str">
        <f>"["&amp;$C1011&amp;"]["&amp;$D1011&amp;"]["&amp;$F1011&amp;"]"</f>
        <v>[S06_InstallationsConservativeEstimates][2][InstallationAnnualEmissionstCO2e]</v>
      </c>
    </row>
    <row r="1012" spans="1:15" x14ac:dyDescent="0.3">
      <c r="A1012" t="s">
        <v>2277</v>
      </c>
      <c r="B1012" t="s">
        <v>1975</v>
      </c>
      <c r="C1012" t="s">
        <v>1976</v>
      </c>
      <c r="D1012">
        <v>3</v>
      </c>
      <c r="E1012" t="s">
        <v>1447</v>
      </c>
      <c r="F1012" t="s">
        <v>1977</v>
      </c>
      <c r="G1012" t="s">
        <v>1806</v>
      </c>
      <c r="H1012" t="s">
        <v>2279</v>
      </c>
      <c r="I1012" t="s">
        <v>2279</v>
      </c>
      <c r="J1012">
        <v>0</v>
      </c>
      <c r="K1012" t="s">
        <v>2279</v>
      </c>
      <c r="L1012" t="s">
        <v>2279</v>
      </c>
      <c r="M1012" t="s">
        <v>2279</v>
      </c>
      <c r="N1012" t="s">
        <v>2279</v>
      </c>
      <c r="O1012" s="190" t="str">
        <f>"["&amp;$C1012&amp;"]["&amp;$D1012&amp;"]["&amp;$F1012&amp;"]"</f>
        <v>[S06_InstallationsConservativeEstimates][3][InstallationAnnualEmissionstCO2e]</v>
      </c>
    </row>
    <row r="1013" spans="1:15" x14ac:dyDescent="0.3">
      <c r="A1013" t="s">
        <v>2277</v>
      </c>
      <c r="B1013" t="s">
        <v>1975</v>
      </c>
      <c r="C1013" t="s">
        <v>1976</v>
      </c>
      <c r="D1013">
        <v>4</v>
      </c>
      <c r="E1013" t="s">
        <v>1447</v>
      </c>
      <c r="F1013" t="s">
        <v>1977</v>
      </c>
      <c r="G1013" t="s">
        <v>1806</v>
      </c>
      <c r="H1013" t="s">
        <v>2279</v>
      </c>
      <c r="I1013" t="s">
        <v>2279</v>
      </c>
      <c r="J1013">
        <v>0</v>
      </c>
      <c r="K1013" t="s">
        <v>2279</v>
      </c>
      <c r="L1013" t="s">
        <v>2279</v>
      </c>
      <c r="M1013" t="s">
        <v>2279</v>
      </c>
      <c r="N1013" t="s">
        <v>2279</v>
      </c>
      <c r="O1013" s="190" t="str">
        <f>"["&amp;$C1013&amp;"]["&amp;$D1013&amp;"]["&amp;$F1013&amp;"]"</f>
        <v>[S06_InstallationsConservativeEstimates][4][InstallationAnnualEmissionstCO2e]</v>
      </c>
    </row>
    <row r="1014" spans="1:15" x14ac:dyDescent="0.3">
      <c r="A1014" t="s">
        <v>2277</v>
      </c>
      <c r="B1014" t="s">
        <v>1975</v>
      </c>
      <c r="C1014" t="s">
        <v>1976</v>
      </c>
      <c r="D1014">
        <v>1</v>
      </c>
      <c r="E1014" t="s">
        <v>1447</v>
      </c>
      <c r="F1014" t="s">
        <v>1978</v>
      </c>
      <c r="G1014" t="s">
        <v>1737</v>
      </c>
      <c r="H1014" t="s">
        <v>2279</v>
      </c>
      <c r="I1014" t="s">
        <v>2279</v>
      </c>
      <c r="J1014" t="s">
        <v>2279</v>
      </c>
      <c r="K1014" t="s">
        <v>2279</v>
      </c>
      <c r="L1014" t="s">
        <v>1437</v>
      </c>
      <c r="M1014" t="s">
        <v>2279</v>
      </c>
      <c r="N1014" t="s">
        <v>2279</v>
      </c>
      <c r="O1014" s="190" t="str">
        <f>"["&amp;$C1014&amp;"]["&amp;$D1014&amp;"]["&amp;$F1014&amp;"]"</f>
        <v>[S06_InstallationsConservativeEstimates][1][ReasonConservativeEstimate]</v>
      </c>
    </row>
    <row r="1015" spans="1:15" x14ac:dyDescent="0.3">
      <c r="A1015" t="s">
        <v>2277</v>
      </c>
      <c r="B1015" t="s">
        <v>1975</v>
      </c>
      <c r="C1015" t="s">
        <v>1976</v>
      </c>
      <c r="D1015">
        <v>2</v>
      </c>
      <c r="E1015" t="s">
        <v>1447</v>
      </c>
      <c r="F1015" t="s">
        <v>1978</v>
      </c>
      <c r="G1015" t="s">
        <v>1737</v>
      </c>
      <c r="H1015" t="s">
        <v>2279</v>
      </c>
      <c r="I1015" t="s">
        <v>2279</v>
      </c>
      <c r="J1015" t="s">
        <v>2279</v>
      </c>
      <c r="K1015" t="s">
        <v>2279</v>
      </c>
      <c r="L1015" t="s">
        <v>1437</v>
      </c>
      <c r="M1015" t="s">
        <v>2279</v>
      </c>
      <c r="N1015" t="s">
        <v>2279</v>
      </c>
      <c r="O1015" s="190" t="str">
        <f>"["&amp;$C1015&amp;"]["&amp;$D1015&amp;"]["&amp;$F1015&amp;"]"</f>
        <v>[S06_InstallationsConservativeEstimates][2][ReasonConservativeEstimate]</v>
      </c>
    </row>
    <row r="1016" spans="1:15" x14ac:dyDescent="0.3">
      <c r="A1016" t="s">
        <v>2277</v>
      </c>
      <c r="B1016" t="s">
        <v>1975</v>
      </c>
      <c r="C1016" t="s">
        <v>1976</v>
      </c>
      <c r="D1016">
        <v>3</v>
      </c>
      <c r="E1016" t="s">
        <v>1447</v>
      </c>
      <c r="F1016" t="s">
        <v>1978</v>
      </c>
      <c r="G1016" t="s">
        <v>1737</v>
      </c>
      <c r="H1016" t="s">
        <v>2279</v>
      </c>
      <c r="I1016" t="s">
        <v>2279</v>
      </c>
      <c r="J1016" t="s">
        <v>2279</v>
      </c>
      <c r="K1016" t="s">
        <v>2279</v>
      </c>
      <c r="L1016" t="s">
        <v>1437</v>
      </c>
      <c r="M1016" t="s">
        <v>2279</v>
      </c>
      <c r="N1016" t="s">
        <v>2279</v>
      </c>
      <c r="O1016" s="190" t="str">
        <f>"["&amp;$C1016&amp;"]["&amp;$D1016&amp;"]["&amp;$F1016&amp;"]"</f>
        <v>[S06_InstallationsConservativeEstimates][3][ReasonConservativeEstimate]</v>
      </c>
    </row>
    <row r="1017" spans="1:15" x14ac:dyDescent="0.3">
      <c r="A1017" t="s">
        <v>2277</v>
      </c>
      <c r="B1017" t="s">
        <v>1975</v>
      </c>
      <c r="C1017" t="s">
        <v>1976</v>
      </c>
      <c r="D1017">
        <v>4</v>
      </c>
      <c r="E1017" t="s">
        <v>1447</v>
      </c>
      <c r="F1017" t="s">
        <v>1978</v>
      </c>
      <c r="G1017" t="s">
        <v>1737</v>
      </c>
      <c r="H1017" t="s">
        <v>2279</v>
      </c>
      <c r="I1017" t="s">
        <v>2279</v>
      </c>
      <c r="J1017" t="s">
        <v>2279</v>
      </c>
      <c r="K1017" t="s">
        <v>2279</v>
      </c>
      <c r="L1017" t="s">
        <v>1437</v>
      </c>
      <c r="M1017" t="s">
        <v>2279</v>
      </c>
      <c r="N1017" t="s">
        <v>2279</v>
      </c>
      <c r="O1017" s="190" t="str">
        <f>"["&amp;$C1017&amp;"]["&amp;$D1017&amp;"]["&amp;$F1017&amp;"]"</f>
        <v>[S06_InstallationsConservativeEstimates][4][ReasonConservativeEstimate]</v>
      </c>
    </row>
    <row r="1018" spans="1:15" x14ac:dyDescent="0.3">
      <c r="A1018" t="s">
        <v>2277</v>
      </c>
      <c r="B1018" t="s">
        <v>1975</v>
      </c>
      <c r="C1018" t="s">
        <v>1976</v>
      </c>
      <c r="D1018">
        <v>1</v>
      </c>
      <c r="E1018" t="s">
        <v>1447</v>
      </c>
      <c r="F1018" t="s">
        <v>1979</v>
      </c>
      <c r="G1018" t="s">
        <v>1806</v>
      </c>
      <c r="H1018" t="s">
        <v>2279</v>
      </c>
      <c r="I1018" t="s">
        <v>2279</v>
      </c>
      <c r="J1018">
        <v>1</v>
      </c>
      <c r="K1018" t="s">
        <v>2279</v>
      </c>
      <c r="L1018" t="s">
        <v>2279</v>
      </c>
      <c r="M1018" t="s">
        <v>2279</v>
      </c>
      <c r="N1018" t="s">
        <v>2279</v>
      </c>
      <c r="O1018" s="190" t="str">
        <f>"["&amp;$C1018&amp;"]["&amp;$D1018&amp;"]["&amp;$F1018&amp;"]"</f>
        <v>[S06_InstallationsConservativeEstimates][1][InstallationConservativeShare]</v>
      </c>
    </row>
    <row r="1019" spans="1:15" x14ac:dyDescent="0.3">
      <c r="A1019" t="s">
        <v>2277</v>
      </c>
      <c r="B1019" t="s">
        <v>1975</v>
      </c>
      <c r="C1019" t="s">
        <v>1976</v>
      </c>
      <c r="D1019">
        <v>2</v>
      </c>
      <c r="E1019" t="s">
        <v>1447</v>
      </c>
      <c r="F1019" t="s">
        <v>1979</v>
      </c>
      <c r="G1019" t="s">
        <v>1806</v>
      </c>
      <c r="H1019" t="s">
        <v>2279</v>
      </c>
      <c r="I1019" t="s">
        <v>2279</v>
      </c>
      <c r="J1019">
        <v>1</v>
      </c>
      <c r="K1019" t="s">
        <v>2279</v>
      </c>
      <c r="L1019" t="s">
        <v>2279</v>
      </c>
      <c r="M1019" t="s">
        <v>2279</v>
      </c>
      <c r="N1019" t="s">
        <v>2279</v>
      </c>
      <c r="O1019" s="190" t="str">
        <f>"["&amp;$C1019&amp;"]["&amp;$D1019&amp;"]["&amp;$F1019&amp;"]"</f>
        <v>[S06_InstallationsConservativeEstimates][2][InstallationConservativeShare]</v>
      </c>
    </row>
    <row r="1020" spans="1:15" x14ac:dyDescent="0.3">
      <c r="A1020" t="s">
        <v>2277</v>
      </c>
      <c r="B1020" t="s">
        <v>1975</v>
      </c>
      <c r="C1020" t="s">
        <v>1976</v>
      </c>
      <c r="D1020">
        <v>3</v>
      </c>
      <c r="E1020" t="s">
        <v>1447</v>
      </c>
      <c r="F1020" t="s">
        <v>1979</v>
      </c>
      <c r="G1020" t="s">
        <v>1806</v>
      </c>
      <c r="H1020" t="s">
        <v>2279</v>
      </c>
      <c r="I1020" t="s">
        <v>2279</v>
      </c>
      <c r="J1020">
        <v>1</v>
      </c>
      <c r="K1020" t="s">
        <v>2279</v>
      </c>
      <c r="L1020" t="s">
        <v>2279</v>
      </c>
      <c r="M1020" t="s">
        <v>2279</v>
      </c>
      <c r="N1020" t="s">
        <v>2279</v>
      </c>
      <c r="O1020" s="190" t="str">
        <f>"["&amp;$C1020&amp;"]["&amp;$D1020&amp;"]["&amp;$F1020&amp;"]"</f>
        <v>[S06_InstallationsConservativeEstimates][3][InstallationConservativeShare]</v>
      </c>
    </row>
    <row r="1021" spans="1:15" x14ac:dyDescent="0.3">
      <c r="A1021" t="s">
        <v>2277</v>
      </c>
      <c r="B1021" t="s">
        <v>1975</v>
      </c>
      <c r="C1021" t="s">
        <v>1976</v>
      </c>
      <c r="D1021">
        <v>4</v>
      </c>
      <c r="E1021" t="s">
        <v>1447</v>
      </c>
      <c r="F1021" t="s">
        <v>1979</v>
      </c>
      <c r="G1021" t="s">
        <v>1806</v>
      </c>
      <c r="H1021" t="s">
        <v>2279</v>
      </c>
      <c r="I1021" t="s">
        <v>2279</v>
      </c>
      <c r="J1021">
        <v>1</v>
      </c>
      <c r="K1021" t="s">
        <v>2279</v>
      </c>
      <c r="L1021" t="s">
        <v>2279</v>
      </c>
      <c r="M1021" t="s">
        <v>2279</v>
      </c>
      <c r="N1021" t="s">
        <v>2279</v>
      </c>
      <c r="O1021" s="190" t="str">
        <f>"["&amp;$C1021&amp;"]["&amp;$D1021&amp;"]["&amp;$F1021&amp;"]"</f>
        <v>[S06_InstallationsConservativeEstimates][4][InstallationConservativeShare]</v>
      </c>
    </row>
    <row r="1022" spans="1:15" x14ac:dyDescent="0.3">
      <c r="A1022" t="s">
        <v>2277</v>
      </c>
      <c r="B1022" t="s">
        <v>1975</v>
      </c>
      <c r="C1022" t="s">
        <v>1976</v>
      </c>
      <c r="D1022">
        <v>1</v>
      </c>
      <c r="E1022" t="s">
        <v>1447</v>
      </c>
      <c r="F1022" t="s">
        <v>1980</v>
      </c>
      <c r="G1022" t="s">
        <v>1741</v>
      </c>
      <c r="H1022" t="s">
        <v>2386</v>
      </c>
      <c r="I1022" t="s">
        <v>2279</v>
      </c>
      <c r="J1022" t="s">
        <v>2279</v>
      </c>
      <c r="K1022" t="s">
        <v>2279</v>
      </c>
      <c r="L1022" t="s">
        <v>2279</v>
      </c>
      <c r="M1022" t="s">
        <v>2279</v>
      </c>
      <c r="N1022" t="s">
        <v>2279</v>
      </c>
      <c r="O1022" s="190" t="str">
        <f>"["&amp;$C1022&amp;"]["&amp;$D1022&amp;"]["&amp;$F1022&amp;"]"</f>
        <v>[S06_InstallationsConservativeEstimates][1][ConservativeMethod]</v>
      </c>
    </row>
    <row r="1023" spans="1:15" x14ac:dyDescent="0.3">
      <c r="A1023" t="s">
        <v>2277</v>
      </c>
      <c r="B1023" t="s">
        <v>1975</v>
      </c>
      <c r="C1023" t="s">
        <v>1976</v>
      </c>
      <c r="D1023">
        <v>2</v>
      </c>
      <c r="E1023" t="s">
        <v>1447</v>
      </c>
      <c r="F1023" t="s">
        <v>1980</v>
      </c>
      <c r="G1023" t="s">
        <v>1741</v>
      </c>
      <c r="H1023" t="s">
        <v>2387</v>
      </c>
      <c r="I1023" t="s">
        <v>2279</v>
      </c>
      <c r="J1023" t="s">
        <v>2279</v>
      </c>
      <c r="K1023" t="s">
        <v>2279</v>
      </c>
      <c r="L1023" t="s">
        <v>2279</v>
      </c>
      <c r="M1023" t="s">
        <v>2279</v>
      </c>
      <c r="N1023" t="s">
        <v>2279</v>
      </c>
      <c r="O1023" s="190" t="str">
        <f>"["&amp;$C1023&amp;"]["&amp;$D1023&amp;"]["&amp;$F1023&amp;"]"</f>
        <v>[S06_InstallationsConservativeEstimates][2][ConservativeMethod]</v>
      </c>
    </row>
    <row r="1024" spans="1:15" x14ac:dyDescent="0.3">
      <c r="A1024" t="s">
        <v>2277</v>
      </c>
      <c r="B1024" t="s">
        <v>1975</v>
      </c>
      <c r="C1024" t="s">
        <v>1976</v>
      </c>
      <c r="D1024">
        <v>3</v>
      </c>
      <c r="E1024" t="s">
        <v>1447</v>
      </c>
      <c r="F1024" t="s">
        <v>1980</v>
      </c>
      <c r="G1024" t="s">
        <v>1741</v>
      </c>
      <c r="H1024" t="s">
        <v>2388</v>
      </c>
      <c r="I1024" t="s">
        <v>2279</v>
      </c>
      <c r="J1024" t="s">
        <v>2279</v>
      </c>
      <c r="K1024" t="s">
        <v>2279</v>
      </c>
      <c r="L1024" t="s">
        <v>2279</v>
      </c>
      <c r="M1024" t="s">
        <v>2279</v>
      </c>
      <c r="N1024" t="s">
        <v>2279</v>
      </c>
      <c r="O1024" s="190" t="str">
        <f>"["&amp;$C1024&amp;"]["&amp;$D1024&amp;"]["&amp;$F1024&amp;"]"</f>
        <v>[S06_InstallationsConservativeEstimates][3][ConservativeMethod]</v>
      </c>
    </row>
    <row r="1025" spans="1:15" x14ac:dyDescent="0.3">
      <c r="A1025" t="s">
        <v>2277</v>
      </c>
      <c r="B1025" t="s">
        <v>1975</v>
      </c>
      <c r="C1025" t="s">
        <v>1976</v>
      </c>
      <c r="D1025">
        <v>4</v>
      </c>
      <c r="E1025" t="s">
        <v>1447</v>
      </c>
      <c r="F1025" t="s">
        <v>1980</v>
      </c>
      <c r="G1025" t="s">
        <v>1741</v>
      </c>
      <c r="H1025" t="s">
        <v>2388</v>
      </c>
      <c r="I1025" t="s">
        <v>2279</v>
      </c>
      <c r="J1025" t="s">
        <v>2279</v>
      </c>
      <c r="K1025" t="s">
        <v>2279</v>
      </c>
      <c r="L1025" t="s">
        <v>2279</v>
      </c>
      <c r="M1025" t="s">
        <v>2279</v>
      </c>
      <c r="N1025" t="s">
        <v>2279</v>
      </c>
      <c r="O1025" s="190" t="str">
        <f>"["&amp;$C1025&amp;"]["&amp;$D1025&amp;"]["&amp;$F1025&amp;"]"</f>
        <v>[S06_InstallationsConservativeEstimates][4][ConservativeMethod]</v>
      </c>
    </row>
    <row r="1026" spans="1:15" x14ac:dyDescent="0.3">
      <c r="A1026" t="s">
        <v>2277</v>
      </c>
      <c r="B1026" t="s">
        <v>1975</v>
      </c>
      <c r="C1026" t="s">
        <v>1976</v>
      </c>
      <c r="D1026">
        <v>1</v>
      </c>
      <c r="E1026" t="s">
        <v>1447</v>
      </c>
      <c r="F1026" t="s">
        <v>1981</v>
      </c>
      <c r="G1026" t="s">
        <v>1737</v>
      </c>
      <c r="H1026" t="s">
        <v>2279</v>
      </c>
      <c r="I1026" t="s">
        <v>2279</v>
      </c>
      <c r="J1026" t="s">
        <v>2279</v>
      </c>
      <c r="K1026" t="s">
        <v>2279</v>
      </c>
      <c r="L1026" t="s">
        <v>1438</v>
      </c>
      <c r="M1026" t="s">
        <v>2279</v>
      </c>
      <c r="N1026" t="s">
        <v>2279</v>
      </c>
      <c r="O1026" s="190" t="str">
        <f>"["&amp;$C1026&amp;"]["&amp;$D1026&amp;"]["&amp;$F1026&amp;"]"</f>
        <v>[S06_InstallationsConservativeEstimates][1][FurtherAction]</v>
      </c>
    </row>
    <row r="1027" spans="1:15" x14ac:dyDescent="0.3">
      <c r="A1027" t="s">
        <v>2277</v>
      </c>
      <c r="B1027" t="s">
        <v>1975</v>
      </c>
      <c r="C1027" t="s">
        <v>1976</v>
      </c>
      <c r="D1027">
        <v>2</v>
      </c>
      <c r="E1027" t="s">
        <v>1447</v>
      </c>
      <c r="F1027" t="s">
        <v>1981</v>
      </c>
      <c r="G1027" t="s">
        <v>1737</v>
      </c>
      <c r="H1027" t="s">
        <v>2279</v>
      </c>
      <c r="I1027" t="s">
        <v>2279</v>
      </c>
      <c r="J1027" t="s">
        <v>2279</v>
      </c>
      <c r="K1027" t="s">
        <v>2279</v>
      </c>
      <c r="L1027" t="s">
        <v>1525</v>
      </c>
      <c r="M1027" t="s">
        <v>2279</v>
      </c>
      <c r="N1027" t="s">
        <v>2279</v>
      </c>
      <c r="O1027" s="190" t="str">
        <f>"["&amp;$C1027&amp;"]["&amp;$D1027&amp;"]["&amp;$F1027&amp;"]"</f>
        <v>[S06_InstallationsConservativeEstimates][2][FurtherAction]</v>
      </c>
    </row>
    <row r="1028" spans="1:15" x14ac:dyDescent="0.3">
      <c r="A1028" t="s">
        <v>2277</v>
      </c>
      <c r="B1028" t="s">
        <v>1975</v>
      </c>
      <c r="C1028" t="s">
        <v>1976</v>
      </c>
      <c r="D1028">
        <v>3</v>
      </c>
      <c r="E1028" t="s">
        <v>1447</v>
      </c>
      <c r="F1028" t="s">
        <v>1981</v>
      </c>
      <c r="G1028" t="s">
        <v>1737</v>
      </c>
      <c r="H1028" t="s">
        <v>2279</v>
      </c>
      <c r="I1028" t="s">
        <v>2279</v>
      </c>
      <c r="J1028" t="s">
        <v>2279</v>
      </c>
      <c r="K1028" t="s">
        <v>2279</v>
      </c>
      <c r="L1028" t="s">
        <v>1525</v>
      </c>
      <c r="M1028" t="s">
        <v>2279</v>
      </c>
      <c r="N1028" t="s">
        <v>2279</v>
      </c>
      <c r="O1028" s="190" t="str">
        <f>"["&amp;$C1028&amp;"]["&amp;$D1028&amp;"]["&amp;$F1028&amp;"]"</f>
        <v>[S06_InstallationsConservativeEstimates][3][FurtherAction]</v>
      </c>
    </row>
    <row r="1029" spans="1:15" x14ac:dyDescent="0.3">
      <c r="A1029" t="s">
        <v>2277</v>
      </c>
      <c r="B1029" t="s">
        <v>1975</v>
      </c>
      <c r="C1029" t="s">
        <v>1976</v>
      </c>
      <c r="D1029">
        <v>4</v>
      </c>
      <c r="E1029" t="s">
        <v>1447</v>
      </c>
      <c r="F1029" t="s">
        <v>1981</v>
      </c>
      <c r="G1029" t="s">
        <v>1737</v>
      </c>
      <c r="H1029" t="s">
        <v>2279</v>
      </c>
      <c r="I1029" t="s">
        <v>2279</v>
      </c>
      <c r="J1029" t="s">
        <v>2279</v>
      </c>
      <c r="K1029" t="s">
        <v>2279</v>
      </c>
      <c r="L1029" t="s">
        <v>1525</v>
      </c>
      <c r="M1029" t="s">
        <v>2279</v>
      </c>
      <c r="N1029" t="s">
        <v>2279</v>
      </c>
      <c r="O1029" s="190" t="str">
        <f>"["&amp;$C1029&amp;"]["&amp;$D1029&amp;"]["&amp;$F1029&amp;"]"</f>
        <v>[S06_InstallationsConservativeEstimates][4][FurtherAction]</v>
      </c>
    </row>
    <row r="1030" spans="1:15" x14ac:dyDescent="0.3">
      <c r="A1030" t="s">
        <v>2277</v>
      </c>
      <c r="B1030" t="s">
        <v>1975</v>
      </c>
      <c r="C1030" t="s">
        <v>1976</v>
      </c>
      <c r="D1030">
        <v>1</v>
      </c>
      <c r="E1030" t="s">
        <v>1447</v>
      </c>
      <c r="F1030" t="s">
        <v>1982</v>
      </c>
      <c r="G1030" t="s">
        <v>1741</v>
      </c>
      <c r="H1030" t="s">
        <v>2389</v>
      </c>
      <c r="I1030" t="s">
        <v>2279</v>
      </c>
      <c r="J1030" t="s">
        <v>2279</v>
      </c>
      <c r="K1030" t="s">
        <v>2279</v>
      </c>
      <c r="L1030" t="s">
        <v>2279</v>
      </c>
      <c r="M1030" t="s">
        <v>2279</v>
      </c>
      <c r="N1030" t="s">
        <v>2279</v>
      </c>
      <c r="O1030" s="190" t="str">
        <f>"["&amp;$C1030&amp;"]["&amp;$D1030&amp;"]["&amp;$F1030&amp;"]"</f>
        <v>[S06_InstallationsConservativeEstimates][1][OtherAction]</v>
      </c>
    </row>
    <row r="1031" spans="1:15" x14ac:dyDescent="0.3">
      <c r="A1031" t="s">
        <v>2277</v>
      </c>
      <c r="B1031" t="s">
        <v>1975</v>
      </c>
      <c r="C1031" t="s">
        <v>1976</v>
      </c>
      <c r="D1031">
        <v>2</v>
      </c>
      <c r="E1031" t="s">
        <v>1447</v>
      </c>
      <c r="F1031" t="s">
        <v>1982</v>
      </c>
      <c r="G1031" t="s">
        <v>1741</v>
      </c>
      <c r="H1031" t="s">
        <v>2390</v>
      </c>
      <c r="I1031" t="s">
        <v>2279</v>
      </c>
      <c r="J1031" t="s">
        <v>2279</v>
      </c>
      <c r="K1031" t="s">
        <v>2279</v>
      </c>
      <c r="L1031" t="s">
        <v>2279</v>
      </c>
      <c r="M1031" t="s">
        <v>2279</v>
      </c>
      <c r="N1031" t="s">
        <v>2279</v>
      </c>
      <c r="O1031" s="190" t="str">
        <f>"["&amp;$C1031&amp;"]["&amp;$D1031&amp;"]["&amp;$F1031&amp;"]"</f>
        <v>[S06_InstallationsConservativeEstimates][2][OtherAction]</v>
      </c>
    </row>
    <row r="1032" spans="1:15" x14ac:dyDescent="0.3">
      <c r="A1032" t="s">
        <v>2277</v>
      </c>
      <c r="B1032" t="s">
        <v>1975</v>
      </c>
      <c r="C1032" t="s">
        <v>1976</v>
      </c>
      <c r="D1032">
        <v>3</v>
      </c>
      <c r="E1032" t="s">
        <v>1447</v>
      </c>
      <c r="F1032" t="s">
        <v>1982</v>
      </c>
      <c r="G1032" t="s">
        <v>1741</v>
      </c>
      <c r="H1032" t="s">
        <v>2391</v>
      </c>
      <c r="I1032" t="s">
        <v>2279</v>
      </c>
      <c r="J1032" t="s">
        <v>2279</v>
      </c>
      <c r="K1032" t="s">
        <v>2279</v>
      </c>
      <c r="L1032" t="s">
        <v>2279</v>
      </c>
      <c r="M1032" t="s">
        <v>2279</v>
      </c>
      <c r="N1032" t="s">
        <v>2279</v>
      </c>
      <c r="O1032" s="190" t="str">
        <f>"["&amp;$C1032&amp;"]["&amp;$D1032&amp;"]["&amp;$F1032&amp;"]"</f>
        <v>[S06_InstallationsConservativeEstimates][3][OtherAction]</v>
      </c>
    </row>
    <row r="1033" spans="1:15" x14ac:dyDescent="0.3">
      <c r="A1033" t="s">
        <v>2277</v>
      </c>
      <c r="B1033" t="s">
        <v>1975</v>
      </c>
      <c r="C1033" t="s">
        <v>1976</v>
      </c>
      <c r="D1033">
        <v>4</v>
      </c>
      <c r="E1033" t="s">
        <v>1447</v>
      </c>
      <c r="F1033" t="s">
        <v>1982</v>
      </c>
      <c r="G1033" t="s">
        <v>1741</v>
      </c>
      <c r="H1033" t="s">
        <v>2392</v>
      </c>
      <c r="I1033" t="s">
        <v>2279</v>
      </c>
      <c r="J1033" t="s">
        <v>2279</v>
      </c>
      <c r="K1033" t="s">
        <v>2279</v>
      </c>
      <c r="L1033" t="s">
        <v>2279</v>
      </c>
      <c r="M1033" t="s">
        <v>2279</v>
      </c>
      <c r="N1033" t="s">
        <v>2279</v>
      </c>
      <c r="O1033" s="190" t="str">
        <f>"["&amp;$C1033&amp;"]["&amp;$D1033&amp;"]["&amp;$F1033&amp;"]"</f>
        <v>[S06_InstallationsConservativeEstimates][4][OtherAction]</v>
      </c>
    </row>
    <row r="1034" spans="1:15" x14ac:dyDescent="0.3">
      <c r="A1034" t="s">
        <v>2277</v>
      </c>
      <c r="B1034" t="s">
        <v>1975</v>
      </c>
      <c r="C1034" t="s">
        <v>1983</v>
      </c>
      <c r="D1034">
        <v>1</v>
      </c>
      <c r="E1034" t="s">
        <v>1447</v>
      </c>
      <c r="F1034" t="s">
        <v>1984</v>
      </c>
      <c r="G1034" t="s">
        <v>1748</v>
      </c>
      <c r="H1034" t="s">
        <v>2279</v>
      </c>
      <c r="I1034">
        <v>4</v>
      </c>
      <c r="J1034" t="s">
        <v>2279</v>
      </c>
      <c r="K1034" t="s">
        <v>2279</v>
      </c>
      <c r="L1034" t="s">
        <v>2279</v>
      </c>
      <c r="M1034" t="s">
        <v>2279</v>
      </c>
      <c r="N1034" t="s">
        <v>2279</v>
      </c>
      <c r="O1034" s="190" t="str">
        <f>"["&amp;$C1034&amp;"]["&amp;$D1034&amp;"]["&amp;$F1034&amp;"]"</f>
        <v>[S06_NegativeOpinionInstallations][1][CountNegativeOpinions]</v>
      </c>
    </row>
    <row r="1035" spans="1:15" x14ac:dyDescent="0.3">
      <c r="A1035" t="s">
        <v>2277</v>
      </c>
      <c r="B1035" t="s">
        <v>1975</v>
      </c>
      <c r="C1035" t="s">
        <v>1983</v>
      </c>
      <c r="D1035">
        <v>2</v>
      </c>
      <c r="E1035" t="s">
        <v>1447</v>
      </c>
      <c r="F1035" t="s">
        <v>1984</v>
      </c>
      <c r="G1035" t="s">
        <v>1748</v>
      </c>
      <c r="H1035" t="s">
        <v>2279</v>
      </c>
      <c r="I1035">
        <v>0</v>
      </c>
      <c r="J1035" t="s">
        <v>2279</v>
      </c>
      <c r="K1035" t="s">
        <v>2279</v>
      </c>
      <c r="L1035" t="s">
        <v>2279</v>
      </c>
      <c r="M1035" t="s">
        <v>2279</v>
      </c>
      <c r="N1035" t="s">
        <v>2279</v>
      </c>
      <c r="O1035" s="190" t="str">
        <f>"["&amp;$C1035&amp;"]["&amp;$D1035&amp;"]["&amp;$F1035&amp;"]"</f>
        <v>[S06_NegativeOpinionInstallations][2][CountNegativeOpinions]</v>
      </c>
    </row>
    <row r="1036" spans="1:15" x14ac:dyDescent="0.3">
      <c r="A1036" t="s">
        <v>2277</v>
      </c>
      <c r="B1036" t="s">
        <v>1975</v>
      </c>
      <c r="C1036" t="s">
        <v>1983</v>
      </c>
      <c r="D1036">
        <v>3</v>
      </c>
      <c r="E1036" t="s">
        <v>1447</v>
      </c>
      <c r="F1036" t="s">
        <v>1984</v>
      </c>
      <c r="G1036" t="s">
        <v>1748</v>
      </c>
      <c r="H1036" t="s">
        <v>2279</v>
      </c>
      <c r="I1036">
        <v>0</v>
      </c>
      <c r="J1036" t="s">
        <v>2279</v>
      </c>
      <c r="K1036" t="s">
        <v>2279</v>
      </c>
      <c r="L1036" t="s">
        <v>2279</v>
      </c>
      <c r="M1036" t="s">
        <v>2279</v>
      </c>
      <c r="N1036" t="s">
        <v>2279</v>
      </c>
      <c r="O1036" s="190" t="str">
        <f>"["&amp;$C1036&amp;"]["&amp;$D1036&amp;"]["&amp;$F1036&amp;"]"</f>
        <v>[S06_NegativeOpinionInstallations][3][CountNegativeOpinions]</v>
      </c>
    </row>
    <row r="1037" spans="1:15" x14ac:dyDescent="0.3">
      <c r="A1037" t="s">
        <v>2277</v>
      </c>
      <c r="B1037" t="s">
        <v>1975</v>
      </c>
      <c r="C1037" t="s">
        <v>1983</v>
      </c>
      <c r="D1037">
        <v>4</v>
      </c>
      <c r="E1037" t="s">
        <v>1447</v>
      </c>
      <c r="F1037" t="s">
        <v>1984</v>
      </c>
      <c r="G1037" t="s">
        <v>1748</v>
      </c>
      <c r="H1037" t="s">
        <v>2279</v>
      </c>
      <c r="I1037">
        <v>0</v>
      </c>
      <c r="J1037" t="s">
        <v>2279</v>
      </c>
      <c r="K1037" t="s">
        <v>2279</v>
      </c>
      <c r="L1037" t="s">
        <v>2279</v>
      </c>
      <c r="M1037" t="s">
        <v>2279</v>
      </c>
      <c r="N1037" t="s">
        <v>2279</v>
      </c>
      <c r="O1037" s="190" t="str">
        <f>"["&amp;$C1037&amp;"]["&amp;$D1037&amp;"]["&amp;$F1037&amp;"]"</f>
        <v>[S06_NegativeOpinionInstallations][4][CountNegativeOpinions]</v>
      </c>
    </row>
    <row r="1038" spans="1:15" x14ac:dyDescent="0.3">
      <c r="A1038" t="s">
        <v>2277</v>
      </c>
      <c r="B1038" t="s">
        <v>1985</v>
      </c>
      <c r="C1038" t="s">
        <v>1986</v>
      </c>
      <c r="D1038">
        <v>0</v>
      </c>
      <c r="E1038" t="s">
        <v>1447</v>
      </c>
      <c r="F1038" t="s">
        <v>1986</v>
      </c>
      <c r="G1038" t="s">
        <v>1759</v>
      </c>
      <c r="H1038" t="s">
        <v>2279</v>
      </c>
      <c r="I1038" t="s">
        <v>2279</v>
      </c>
      <c r="J1038" t="s">
        <v>2279</v>
      </c>
      <c r="K1038" t="s">
        <v>2279</v>
      </c>
      <c r="L1038" t="s">
        <v>1419</v>
      </c>
      <c r="M1038" t="s">
        <v>2279</v>
      </c>
      <c r="N1038" t="s">
        <v>2279</v>
      </c>
      <c r="O1038" s="190" t="str">
        <f>"["&amp;$C1038&amp;"]["&amp;$D1038&amp;"]["&amp;$F1038&amp;"]"</f>
        <v>[InstallationsVerificationReportIssues][0][InstallationsVerificationReportIssues]</v>
      </c>
    </row>
    <row r="1039" spans="1:15" x14ac:dyDescent="0.3">
      <c r="A1039" t="s">
        <v>2277</v>
      </c>
      <c r="B1039" t="s">
        <v>1985</v>
      </c>
      <c r="C1039" t="s">
        <v>1987</v>
      </c>
      <c r="D1039">
        <v>1</v>
      </c>
      <c r="E1039" t="s">
        <v>1447</v>
      </c>
      <c r="F1039" t="s">
        <v>1988</v>
      </c>
      <c r="G1039" t="s">
        <v>1737</v>
      </c>
      <c r="H1039" t="s">
        <v>2279</v>
      </c>
      <c r="I1039" t="s">
        <v>2279</v>
      </c>
      <c r="J1039" t="s">
        <v>2279</v>
      </c>
      <c r="K1039" t="s">
        <v>2279</v>
      </c>
      <c r="L1039" t="s">
        <v>1420</v>
      </c>
      <c r="M1039" t="s">
        <v>2279</v>
      </c>
      <c r="N1039" t="s">
        <v>2279</v>
      </c>
      <c r="O1039" s="190" t="str">
        <f>"["&amp;$C1039&amp;"]["&amp;$D1039&amp;"]["&amp;$F1039&amp;"]"</f>
        <v>[S06_InstallationsVerificationReportsIssueDetail][1][AnnexIActivity]</v>
      </c>
    </row>
    <row r="1040" spans="1:15" x14ac:dyDescent="0.3">
      <c r="A1040" t="s">
        <v>2277</v>
      </c>
      <c r="B1040" t="s">
        <v>1985</v>
      </c>
      <c r="C1040" t="s">
        <v>1987</v>
      </c>
      <c r="D1040">
        <v>2</v>
      </c>
      <c r="E1040" t="s">
        <v>1447</v>
      </c>
      <c r="F1040" t="s">
        <v>1988</v>
      </c>
      <c r="G1040" t="s">
        <v>1737</v>
      </c>
      <c r="H1040" t="s">
        <v>2279</v>
      </c>
      <c r="I1040" t="s">
        <v>2279</v>
      </c>
      <c r="J1040" t="s">
        <v>2279</v>
      </c>
      <c r="K1040" t="s">
        <v>2279</v>
      </c>
      <c r="L1040" t="s">
        <v>1562</v>
      </c>
      <c r="M1040" t="s">
        <v>2279</v>
      </c>
      <c r="N1040" t="s">
        <v>2279</v>
      </c>
      <c r="O1040" s="190" t="str">
        <f>"["&amp;$C1040&amp;"]["&amp;$D1040&amp;"]["&amp;$F1040&amp;"]"</f>
        <v>[S06_InstallationsVerificationReportsIssueDetail][2][AnnexIActivity]</v>
      </c>
    </row>
    <row r="1041" spans="1:15" x14ac:dyDescent="0.3">
      <c r="A1041" t="s">
        <v>2277</v>
      </c>
      <c r="B1041" t="s">
        <v>1985</v>
      </c>
      <c r="C1041" t="s">
        <v>1987</v>
      </c>
      <c r="D1041">
        <v>3</v>
      </c>
      <c r="E1041" t="s">
        <v>1447</v>
      </c>
      <c r="F1041" t="s">
        <v>1988</v>
      </c>
      <c r="G1041" t="s">
        <v>1737</v>
      </c>
      <c r="H1041" t="s">
        <v>2279</v>
      </c>
      <c r="I1041" t="s">
        <v>2279</v>
      </c>
      <c r="J1041" t="s">
        <v>2279</v>
      </c>
      <c r="K1041" t="s">
        <v>2279</v>
      </c>
      <c r="L1041" t="s">
        <v>1577</v>
      </c>
      <c r="M1041" t="s">
        <v>2279</v>
      </c>
      <c r="N1041" t="s">
        <v>2279</v>
      </c>
      <c r="O1041" s="190" t="str">
        <f>"["&amp;$C1041&amp;"]["&amp;$D1041&amp;"]["&amp;$F1041&amp;"]"</f>
        <v>[S06_InstallationsVerificationReportsIssueDetail][3][AnnexIActivity]</v>
      </c>
    </row>
    <row r="1042" spans="1:15" x14ac:dyDescent="0.3">
      <c r="A1042" t="s">
        <v>2277</v>
      </c>
      <c r="B1042" t="s">
        <v>1985</v>
      </c>
      <c r="C1042" t="s">
        <v>1987</v>
      </c>
      <c r="D1042">
        <v>4</v>
      </c>
      <c r="E1042" t="s">
        <v>1447</v>
      </c>
      <c r="F1042" t="s">
        <v>1988</v>
      </c>
      <c r="G1042" t="s">
        <v>1737</v>
      </c>
      <c r="H1042" t="s">
        <v>2279</v>
      </c>
      <c r="I1042" t="s">
        <v>2279</v>
      </c>
      <c r="J1042" t="s">
        <v>2279</v>
      </c>
      <c r="K1042" t="s">
        <v>2279</v>
      </c>
      <c r="L1042" t="s">
        <v>1597</v>
      </c>
      <c r="M1042" t="s">
        <v>2279</v>
      </c>
      <c r="N1042" t="s">
        <v>2279</v>
      </c>
      <c r="O1042" s="190" t="str">
        <f>"["&amp;$C1042&amp;"]["&amp;$D1042&amp;"]["&amp;$F1042&amp;"]"</f>
        <v>[S06_InstallationsVerificationReportsIssueDetail][4][AnnexIActivity]</v>
      </c>
    </row>
    <row r="1043" spans="1:15" x14ac:dyDescent="0.3">
      <c r="A1043" t="s">
        <v>2277</v>
      </c>
      <c r="B1043" t="s">
        <v>1985</v>
      </c>
      <c r="C1043" t="s">
        <v>1987</v>
      </c>
      <c r="D1043">
        <v>5</v>
      </c>
      <c r="E1043" t="s">
        <v>1447</v>
      </c>
      <c r="F1043" t="s">
        <v>1988</v>
      </c>
      <c r="G1043" t="s">
        <v>1737</v>
      </c>
      <c r="H1043" t="s">
        <v>2279</v>
      </c>
      <c r="I1043" t="s">
        <v>2279</v>
      </c>
      <c r="J1043" t="s">
        <v>2279</v>
      </c>
      <c r="K1043" t="s">
        <v>2279</v>
      </c>
      <c r="L1043" t="s">
        <v>1420</v>
      </c>
      <c r="M1043" t="s">
        <v>2279</v>
      </c>
      <c r="N1043" t="s">
        <v>2279</v>
      </c>
      <c r="O1043" s="190" t="str">
        <f>"["&amp;$C1043&amp;"]["&amp;$D1043&amp;"]["&amp;$F1043&amp;"]"</f>
        <v>[S06_InstallationsVerificationReportsIssueDetail][5][AnnexIActivity]</v>
      </c>
    </row>
    <row r="1044" spans="1:15" x14ac:dyDescent="0.3">
      <c r="A1044" t="s">
        <v>2277</v>
      </c>
      <c r="B1044" t="s">
        <v>1985</v>
      </c>
      <c r="C1044" t="s">
        <v>1987</v>
      </c>
      <c r="D1044">
        <v>6</v>
      </c>
      <c r="E1044" t="s">
        <v>1447</v>
      </c>
      <c r="F1044" t="s">
        <v>1988</v>
      </c>
      <c r="G1044" t="s">
        <v>1737</v>
      </c>
      <c r="H1044" t="s">
        <v>2279</v>
      </c>
      <c r="I1044" t="s">
        <v>2279</v>
      </c>
      <c r="J1044" t="s">
        <v>2279</v>
      </c>
      <c r="K1044" t="s">
        <v>2279</v>
      </c>
      <c r="L1044" t="s">
        <v>1577</v>
      </c>
      <c r="M1044" t="s">
        <v>2279</v>
      </c>
      <c r="N1044" t="s">
        <v>2279</v>
      </c>
      <c r="O1044" s="190" t="str">
        <f>"["&amp;$C1044&amp;"]["&amp;$D1044&amp;"]["&amp;$F1044&amp;"]"</f>
        <v>[S06_InstallationsVerificationReportsIssueDetail][6][AnnexIActivity]</v>
      </c>
    </row>
    <row r="1045" spans="1:15" x14ac:dyDescent="0.3">
      <c r="A1045" t="s">
        <v>2277</v>
      </c>
      <c r="B1045" t="s">
        <v>1985</v>
      </c>
      <c r="C1045" t="s">
        <v>1987</v>
      </c>
      <c r="D1045">
        <v>7</v>
      </c>
      <c r="E1045" t="s">
        <v>1447</v>
      </c>
      <c r="F1045" t="s">
        <v>1988</v>
      </c>
      <c r="G1045" t="s">
        <v>1737</v>
      </c>
      <c r="H1045" t="s">
        <v>2279</v>
      </c>
      <c r="I1045" t="s">
        <v>2279</v>
      </c>
      <c r="J1045" t="s">
        <v>2279</v>
      </c>
      <c r="K1045" t="s">
        <v>2279</v>
      </c>
      <c r="L1045" t="s">
        <v>1582</v>
      </c>
      <c r="M1045" t="s">
        <v>2279</v>
      </c>
      <c r="N1045" t="s">
        <v>2279</v>
      </c>
      <c r="O1045" s="190" t="str">
        <f>"["&amp;$C1045&amp;"]["&amp;$D1045&amp;"]["&amp;$F1045&amp;"]"</f>
        <v>[S06_InstallationsVerificationReportsIssueDetail][7][AnnexIActivity]</v>
      </c>
    </row>
    <row r="1046" spans="1:15" x14ac:dyDescent="0.3">
      <c r="A1046" t="s">
        <v>2277</v>
      </c>
      <c r="B1046" t="s">
        <v>1985</v>
      </c>
      <c r="C1046" t="s">
        <v>1987</v>
      </c>
      <c r="D1046">
        <v>8</v>
      </c>
      <c r="E1046" t="s">
        <v>1447</v>
      </c>
      <c r="F1046" t="s">
        <v>1988</v>
      </c>
      <c r="G1046" t="s">
        <v>1737</v>
      </c>
      <c r="H1046" t="s">
        <v>2279</v>
      </c>
      <c r="I1046" t="s">
        <v>2279</v>
      </c>
      <c r="J1046" t="s">
        <v>2279</v>
      </c>
      <c r="K1046" t="s">
        <v>2279</v>
      </c>
      <c r="L1046" t="s">
        <v>1530</v>
      </c>
      <c r="M1046" t="s">
        <v>2279</v>
      </c>
      <c r="N1046" t="s">
        <v>2279</v>
      </c>
      <c r="O1046" s="190" t="str">
        <f>"["&amp;$C1046&amp;"]["&amp;$D1046&amp;"]["&amp;$F1046&amp;"]"</f>
        <v>[S06_InstallationsVerificationReportsIssueDetail][8][AnnexIActivity]</v>
      </c>
    </row>
    <row r="1047" spans="1:15" x14ac:dyDescent="0.3">
      <c r="A1047" t="s">
        <v>2277</v>
      </c>
      <c r="B1047" t="s">
        <v>1985</v>
      </c>
      <c r="C1047" t="s">
        <v>1987</v>
      </c>
      <c r="D1047">
        <v>9</v>
      </c>
      <c r="E1047" t="s">
        <v>1447</v>
      </c>
      <c r="F1047" t="s">
        <v>1988</v>
      </c>
      <c r="G1047" t="s">
        <v>1737</v>
      </c>
      <c r="H1047" t="s">
        <v>2279</v>
      </c>
      <c r="I1047" t="s">
        <v>2279</v>
      </c>
      <c r="J1047" t="s">
        <v>2279</v>
      </c>
      <c r="K1047" t="s">
        <v>2279</v>
      </c>
      <c r="L1047" t="s">
        <v>1573</v>
      </c>
      <c r="M1047" t="s">
        <v>2279</v>
      </c>
      <c r="N1047" t="s">
        <v>2279</v>
      </c>
      <c r="O1047" s="190" t="str">
        <f>"["&amp;$C1047&amp;"]["&amp;$D1047&amp;"]["&amp;$F1047&amp;"]"</f>
        <v>[S06_InstallationsVerificationReportsIssueDetail][9][AnnexIActivity]</v>
      </c>
    </row>
    <row r="1048" spans="1:15" x14ac:dyDescent="0.3">
      <c r="A1048" t="s">
        <v>2277</v>
      </c>
      <c r="B1048" t="s">
        <v>1985</v>
      </c>
      <c r="C1048" t="s">
        <v>1987</v>
      </c>
      <c r="D1048">
        <v>10</v>
      </c>
      <c r="E1048" t="s">
        <v>1447</v>
      </c>
      <c r="F1048" t="s">
        <v>1988</v>
      </c>
      <c r="G1048" t="s">
        <v>1737</v>
      </c>
      <c r="H1048" t="s">
        <v>2279</v>
      </c>
      <c r="I1048" t="s">
        <v>2279</v>
      </c>
      <c r="J1048" t="s">
        <v>2279</v>
      </c>
      <c r="K1048" t="s">
        <v>2279</v>
      </c>
      <c r="L1048" t="s">
        <v>1518</v>
      </c>
      <c r="M1048" t="s">
        <v>2279</v>
      </c>
      <c r="N1048" t="s">
        <v>2279</v>
      </c>
      <c r="O1048" s="190" t="str">
        <f>"["&amp;$C1048&amp;"]["&amp;$D1048&amp;"]["&amp;$F1048&amp;"]"</f>
        <v>[S06_InstallationsVerificationReportsIssueDetail][10][AnnexIActivity]</v>
      </c>
    </row>
    <row r="1049" spans="1:15" x14ac:dyDescent="0.3">
      <c r="A1049" t="s">
        <v>2277</v>
      </c>
      <c r="B1049" t="s">
        <v>1985</v>
      </c>
      <c r="C1049" t="s">
        <v>1987</v>
      </c>
      <c r="D1049">
        <v>11</v>
      </c>
      <c r="E1049" t="s">
        <v>1447</v>
      </c>
      <c r="F1049" t="s">
        <v>1988</v>
      </c>
      <c r="G1049" t="s">
        <v>1737</v>
      </c>
      <c r="H1049" t="s">
        <v>2279</v>
      </c>
      <c r="I1049" t="s">
        <v>2279</v>
      </c>
      <c r="J1049" t="s">
        <v>2279</v>
      </c>
      <c r="K1049" t="s">
        <v>2279</v>
      </c>
      <c r="L1049" t="s">
        <v>1631</v>
      </c>
      <c r="M1049" t="s">
        <v>2279</v>
      </c>
      <c r="N1049" t="s">
        <v>2279</v>
      </c>
      <c r="O1049" s="190" t="str">
        <f>"["&amp;$C1049&amp;"]["&amp;$D1049&amp;"]["&amp;$F1049&amp;"]"</f>
        <v>[S06_InstallationsVerificationReportsIssueDetail][11][AnnexIActivity]</v>
      </c>
    </row>
    <row r="1050" spans="1:15" x14ac:dyDescent="0.3">
      <c r="A1050" t="s">
        <v>2277</v>
      </c>
      <c r="B1050" t="s">
        <v>1985</v>
      </c>
      <c r="C1050" t="s">
        <v>1987</v>
      </c>
      <c r="D1050">
        <v>12</v>
      </c>
      <c r="E1050" t="s">
        <v>1447</v>
      </c>
      <c r="F1050" t="s">
        <v>1988</v>
      </c>
      <c r="G1050" t="s">
        <v>1737</v>
      </c>
      <c r="H1050" t="s">
        <v>2279</v>
      </c>
      <c r="I1050" t="s">
        <v>2279</v>
      </c>
      <c r="J1050" t="s">
        <v>2279</v>
      </c>
      <c r="K1050" t="s">
        <v>2279</v>
      </c>
      <c r="L1050" t="s">
        <v>1478</v>
      </c>
      <c r="M1050" t="s">
        <v>2279</v>
      </c>
      <c r="N1050" t="s">
        <v>2279</v>
      </c>
      <c r="O1050" s="190" t="str">
        <f>"["&amp;$C1050&amp;"]["&amp;$D1050&amp;"]["&amp;$F1050&amp;"]"</f>
        <v>[S06_InstallationsVerificationReportsIssueDetail][12][AnnexIActivity]</v>
      </c>
    </row>
    <row r="1051" spans="1:15" x14ac:dyDescent="0.3">
      <c r="A1051" t="s">
        <v>2277</v>
      </c>
      <c r="B1051" t="s">
        <v>1985</v>
      </c>
      <c r="C1051" t="s">
        <v>1987</v>
      </c>
      <c r="D1051">
        <v>13</v>
      </c>
      <c r="E1051" t="s">
        <v>1447</v>
      </c>
      <c r="F1051" t="s">
        <v>1988</v>
      </c>
      <c r="G1051" t="s">
        <v>1737</v>
      </c>
      <c r="H1051" t="s">
        <v>2279</v>
      </c>
      <c r="I1051" t="s">
        <v>2279</v>
      </c>
      <c r="J1051" t="s">
        <v>2279</v>
      </c>
      <c r="K1051" t="s">
        <v>2279</v>
      </c>
      <c r="L1051" t="s">
        <v>1448</v>
      </c>
      <c r="M1051" t="s">
        <v>2279</v>
      </c>
      <c r="N1051" t="s">
        <v>2279</v>
      </c>
      <c r="O1051" s="190" t="str">
        <f>"["&amp;$C1051&amp;"]["&amp;$D1051&amp;"]["&amp;$F1051&amp;"]"</f>
        <v>[S06_InstallationsVerificationReportsIssueDetail][13][AnnexIActivity]</v>
      </c>
    </row>
    <row r="1052" spans="1:15" x14ac:dyDescent="0.3">
      <c r="A1052" t="s">
        <v>2277</v>
      </c>
      <c r="B1052" t="s">
        <v>1985</v>
      </c>
      <c r="C1052" t="s">
        <v>1987</v>
      </c>
      <c r="D1052">
        <v>14</v>
      </c>
      <c r="E1052" t="s">
        <v>1447</v>
      </c>
      <c r="F1052" t="s">
        <v>1988</v>
      </c>
      <c r="G1052" t="s">
        <v>1737</v>
      </c>
      <c r="H1052" t="s">
        <v>2279</v>
      </c>
      <c r="I1052" t="s">
        <v>2279</v>
      </c>
      <c r="J1052" t="s">
        <v>2279</v>
      </c>
      <c r="K1052" t="s">
        <v>2279</v>
      </c>
      <c r="L1052" t="s">
        <v>1420</v>
      </c>
      <c r="M1052" t="s">
        <v>2279</v>
      </c>
      <c r="N1052" t="s">
        <v>2279</v>
      </c>
      <c r="O1052" s="190" t="str">
        <f>"["&amp;$C1052&amp;"]["&amp;$D1052&amp;"]["&amp;$F1052&amp;"]"</f>
        <v>[S06_InstallationsVerificationReportsIssueDetail][14][AnnexIActivity]</v>
      </c>
    </row>
    <row r="1053" spans="1:15" x14ac:dyDescent="0.3">
      <c r="A1053" t="s">
        <v>2277</v>
      </c>
      <c r="B1053" t="s">
        <v>1985</v>
      </c>
      <c r="C1053" t="s">
        <v>1987</v>
      </c>
      <c r="D1053">
        <v>15</v>
      </c>
      <c r="E1053" t="s">
        <v>1447</v>
      </c>
      <c r="F1053" t="s">
        <v>1988</v>
      </c>
      <c r="G1053" t="s">
        <v>1737</v>
      </c>
      <c r="H1053" t="s">
        <v>2279</v>
      </c>
      <c r="I1053" t="s">
        <v>2279</v>
      </c>
      <c r="J1053" t="s">
        <v>2279</v>
      </c>
      <c r="K1053" t="s">
        <v>2279</v>
      </c>
      <c r="L1053" t="s">
        <v>1562</v>
      </c>
      <c r="M1053" t="s">
        <v>2279</v>
      </c>
      <c r="N1053" t="s">
        <v>2279</v>
      </c>
      <c r="O1053" s="190" t="str">
        <f>"["&amp;$C1053&amp;"]["&amp;$D1053&amp;"]["&amp;$F1053&amp;"]"</f>
        <v>[S06_InstallationsVerificationReportsIssueDetail][15][AnnexIActivity]</v>
      </c>
    </row>
    <row r="1054" spans="1:15" x14ac:dyDescent="0.3">
      <c r="A1054" t="s">
        <v>2277</v>
      </c>
      <c r="B1054" t="s">
        <v>1985</v>
      </c>
      <c r="C1054" t="s">
        <v>1987</v>
      </c>
      <c r="D1054">
        <v>16</v>
      </c>
      <c r="E1054" t="s">
        <v>1447</v>
      </c>
      <c r="F1054" t="s">
        <v>1988</v>
      </c>
      <c r="G1054" t="s">
        <v>1737</v>
      </c>
      <c r="H1054" t="s">
        <v>2279</v>
      </c>
      <c r="I1054" t="s">
        <v>2279</v>
      </c>
      <c r="J1054" t="s">
        <v>2279</v>
      </c>
      <c r="K1054" t="s">
        <v>2279</v>
      </c>
      <c r="L1054" t="s">
        <v>1577</v>
      </c>
      <c r="M1054" t="s">
        <v>2279</v>
      </c>
      <c r="N1054" t="s">
        <v>2279</v>
      </c>
      <c r="O1054" s="190" t="str">
        <f>"["&amp;$C1054&amp;"]["&amp;$D1054&amp;"]["&amp;$F1054&amp;"]"</f>
        <v>[S06_InstallationsVerificationReportsIssueDetail][16][AnnexIActivity]</v>
      </c>
    </row>
    <row r="1055" spans="1:15" x14ac:dyDescent="0.3">
      <c r="A1055" t="s">
        <v>2277</v>
      </c>
      <c r="B1055" t="s">
        <v>1985</v>
      </c>
      <c r="C1055" t="s">
        <v>1987</v>
      </c>
      <c r="D1055">
        <v>17</v>
      </c>
      <c r="E1055" t="s">
        <v>1447</v>
      </c>
      <c r="F1055" t="s">
        <v>1988</v>
      </c>
      <c r="G1055" t="s">
        <v>1737</v>
      </c>
      <c r="H1055" t="s">
        <v>2279</v>
      </c>
      <c r="I1055" t="s">
        <v>2279</v>
      </c>
      <c r="J1055" t="s">
        <v>2279</v>
      </c>
      <c r="K1055" t="s">
        <v>2279</v>
      </c>
      <c r="L1055" t="s">
        <v>1478</v>
      </c>
      <c r="M1055" t="s">
        <v>2279</v>
      </c>
      <c r="N1055" t="s">
        <v>2279</v>
      </c>
      <c r="O1055" s="190" t="str">
        <f>"["&amp;$C1055&amp;"]["&amp;$D1055&amp;"]["&amp;$F1055&amp;"]"</f>
        <v>[S06_InstallationsVerificationReportsIssueDetail][17][AnnexIActivity]</v>
      </c>
    </row>
    <row r="1056" spans="1:15" x14ac:dyDescent="0.3">
      <c r="A1056" t="s">
        <v>2277</v>
      </c>
      <c r="B1056" t="s">
        <v>1985</v>
      </c>
      <c r="C1056" t="s">
        <v>1987</v>
      </c>
      <c r="D1056">
        <v>18</v>
      </c>
      <c r="E1056" t="s">
        <v>1447</v>
      </c>
      <c r="F1056" t="s">
        <v>1988</v>
      </c>
      <c r="G1056" t="s">
        <v>1737</v>
      </c>
      <c r="H1056" t="s">
        <v>2279</v>
      </c>
      <c r="I1056" t="s">
        <v>2279</v>
      </c>
      <c r="J1056" t="s">
        <v>2279</v>
      </c>
      <c r="K1056" t="s">
        <v>2279</v>
      </c>
      <c r="L1056" t="s">
        <v>1530</v>
      </c>
      <c r="M1056" t="s">
        <v>2279</v>
      </c>
      <c r="N1056" t="s">
        <v>2279</v>
      </c>
      <c r="O1056" s="190" t="str">
        <f>"["&amp;$C1056&amp;"]["&amp;$D1056&amp;"]["&amp;$F1056&amp;"]"</f>
        <v>[S06_InstallationsVerificationReportsIssueDetail][18][AnnexIActivity]</v>
      </c>
    </row>
    <row r="1057" spans="1:15" x14ac:dyDescent="0.3">
      <c r="A1057" t="s">
        <v>2277</v>
      </c>
      <c r="B1057" t="s">
        <v>1985</v>
      </c>
      <c r="C1057" t="s">
        <v>1987</v>
      </c>
      <c r="D1057">
        <v>19</v>
      </c>
      <c r="E1057" t="s">
        <v>1447</v>
      </c>
      <c r="F1057" t="s">
        <v>1988</v>
      </c>
      <c r="G1057" t="s">
        <v>1737</v>
      </c>
      <c r="H1057" t="s">
        <v>2279</v>
      </c>
      <c r="I1057" t="s">
        <v>2279</v>
      </c>
      <c r="J1057" t="s">
        <v>2279</v>
      </c>
      <c r="K1057" t="s">
        <v>2279</v>
      </c>
      <c r="L1057" t="s">
        <v>1573</v>
      </c>
      <c r="M1057" t="s">
        <v>2279</v>
      </c>
      <c r="N1057" t="s">
        <v>2279</v>
      </c>
      <c r="O1057" s="190" t="str">
        <f>"["&amp;$C1057&amp;"]["&amp;$D1057&amp;"]["&amp;$F1057&amp;"]"</f>
        <v>[S06_InstallationsVerificationReportsIssueDetail][19][AnnexIActivity]</v>
      </c>
    </row>
    <row r="1058" spans="1:15" x14ac:dyDescent="0.3">
      <c r="A1058" t="s">
        <v>2277</v>
      </c>
      <c r="B1058" t="s">
        <v>1985</v>
      </c>
      <c r="C1058" t="s">
        <v>1987</v>
      </c>
      <c r="D1058">
        <v>20</v>
      </c>
      <c r="E1058" t="s">
        <v>1447</v>
      </c>
      <c r="F1058" t="s">
        <v>1988</v>
      </c>
      <c r="G1058" t="s">
        <v>1737</v>
      </c>
      <c r="H1058" t="s">
        <v>2279</v>
      </c>
      <c r="I1058" t="s">
        <v>2279</v>
      </c>
      <c r="J1058" t="s">
        <v>2279</v>
      </c>
      <c r="K1058" t="s">
        <v>2279</v>
      </c>
      <c r="L1058" t="s">
        <v>1518</v>
      </c>
      <c r="M1058" t="s">
        <v>2279</v>
      </c>
      <c r="N1058" t="s">
        <v>2279</v>
      </c>
      <c r="O1058" s="190" t="str">
        <f>"["&amp;$C1058&amp;"]["&amp;$D1058&amp;"]["&amp;$F1058&amp;"]"</f>
        <v>[S06_InstallationsVerificationReportsIssueDetail][20][AnnexIActivity]</v>
      </c>
    </row>
    <row r="1059" spans="1:15" x14ac:dyDescent="0.3">
      <c r="A1059" t="s">
        <v>2277</v>
      </c>
      <c r="B1059" t="s">
        <v>1985</v>
      </c>
      <c r="C1059" t="s">
        <v>1987</v>
      </c>
      <c r="D1059">
        <v>21</v>
      </c>
      <c r="E1059" t="s">
        <v>1447</v>
      </c>
      <c r="F1059" t="s">
        <v>1988</v>
      </c>
      <c r="G1059" t="s">
        <v>1737</v>
      </c>
      <c r="H1059" t="s">
        <v>2279</v>
      </c>
      <c r="I1059" t="s">
        <v>2279</v>
      </c>
      <c r="J1059" t="s">
        <v>2279</v>
      </c>
      <c r="K1059" t="s">
        <v>2279</v>
      </c>
      <c r="L1059" t="s">
        <v>1568</v>
      </c>
      <c r="M1059" t="s">
        <v>2279</v>
      </c>
      <c r="N1059" t="s">
        <v>2279</v>
      </c>
      <c r="O1059" s="190" t="str">
        <f>"["&amp;$C1059&amp;"]["&amp;$D1059&amp;"]["&amp;$F1059&amp;"]"</f>
        <v>[S06_InstallationsVerificationReportsIssueDetail][21][AnnexIActivity]</v>
      </c>
    </row>
    <row r="1060" spans="1:15" x14ac:dyDescent="0.3">
      <c r="A1060" t="s">
        <v>2277</v>
      </c>
      <c r="B1060" t="s">
        <v>1985</v>
      </c>
      <c r="C1060" t="s">
        <v>1987</v>
      </c>
      <c r="D1060">
        <v>1</v>
      </c>
      <c r="E1060" t="s">
        <v>1447</v>
      </c>
      <c r="F1060" t="s">
        <v>1989</v>
      </c>
      <c r="G1060" t="s">
        <v>1737</v>
      </c>
      <c r="H1060" t="s">
        <v>2279</v>
      </c>
      <c r="I1060" t="s">
        <v>2279</v>
      </c>
      <c r="J1060" t="s">
        <v>2279</v>
      </c>
      <c r="K1060" t="s">
        <v>2279</v>
      </c>
      <c r="L1060" t="s">
        <v>1439</v>
      </c>
      <c r="M1060" t="s">
        <v>2279</v>
      </c>
      <c r="N1060" t="s">
        <v>2279</v>
      </c>
      <c r="O1060" s="190" t="str">
        <f>"["&amp;$C1060&amp;"]["&amp;$D1060&amp;"]["&amp;$F1060&amp;"]"</f>
        <v>[S06_InstallationsVerificationReportsIssueDetail][1][TypeOfIssue]</v>
      </c>
    </row>
    <row r="1061" spans="1:15" x14ac:dyDescent="0.3">
      <c r="A1061" t="s">
        <v>2277</v>
      </c>
      <c r="B1061" t="s">
        <v>1985</v>
      </c>
      <c r="C1061" t="s">
        <v>1987</v>
      </c>
      <c r="D1061">
        <v>2</v>
      </c>
      <c r="E1061" t="s">
        <v>1447</v>
      </c>
      <c r="F1061" t="s">
        <v>1989</v>
      </c>
      <c r="G1061" t="s">
        <v>1737</v>
      </c>
      <c r="H1061" t="s">
        <v>2279</v>
      </c>
      <c r="I1061" t="s">
        <v>2279</v>
      </c>
      <c r="J1061" t="s">
        <v>2279</v>
      </c>
      <c r="K1061" t="s">
        <v>2279</v>
      </c>
      <c r="L1061" t="s">
        <v>1439</v>
      </c>
      <c r="M1061" t="s">
        <v>2279</v>
      </c>
      <c r="N1061" t="s">
        <v>2279</v>
      </c>
      <c r="O1061" s="190" t="str">
        <f>"["&amp;$C1061&amp;"]["&amp;$D1061&amp;"]["&amp;$F1061&amp;"]"</f>
        <v>[S06_InstallationsVerificationReportsIssueDetail][2][TypeOfIssue]</v>
      </c>
    </row>
    <row r="1062" spans="1:15" x14ac:dyDescent="0.3">
      <c r="A1062" t="s">
        <v>2277</v>
      </c>
      <c r="B1062" t="s">
        <v>1985</v>
      </c>
      <c r="C1062" t="s">
        <v>1987</v>
      </c>
      <c r="D1062">
        <v>3</v>
      </c>
      <c r="E1062" t="s">
        <v>1447</v>
      </c>
      <c r="F1062" t="s">
        <v>1989</v>
      </c>
      <c r="G1062" t="s">
        <v>1737</v>
      </c>
      <c r="H1062" t="s">
        <v>2279</v>
      </c>
      <c r="I1062" t="s">
        <v>2279</v>
      </c>
      <c r="J1062" t="s">
        <v>2279</v>
      </c>
      <c r="K1062" t="s">
        <v>2279</v>
      </c>
      <c r="L1062" t="s">
        <v>1439</v>
      </c>
      <c r="M1062" t="s">
        <v>2279</v>
      </c>
      <c r="N1062" t="s">
        <v>2279</v>
      </c>
      <c r="O1062" s="190" t="str">
        <f>"["&amp;$C1062&amp;"]["&amp;$D1062&amp;"]["&amp;$F1062&amp;"]"</f>
        <v>[S06_InstallationsVerificationReportsIssueDetail][3][TypeOfIssue]</v>
      </c>
    </row>
    <row r="1063" spans="1:15" x14ac:dyDescent="0.3">
      <c r="A1063" t="s">
        <v>2277</v>
      </c>
      <c r="B1063" t="s">
        <v>1985</v>
      </c>
      <c r="C1063" t="s">
        <v>1987</v>
      </c>
      <c r="D1063">
        <v>4</v>
      </c>
      <c r="E1063" t="s">
        <v>1447</v>
      </c>
      <c r="F1063" t="s">
        <v>1989</v>
      </c>
      <c r="G1063" t="s">
        <v>1737</v>
      </c>
      <c r="H1063" t="s">
        <v>2279</v>
      </c>
      <c r="I1063" t="s">
        <v>2279</v>
      </c>
      <c r="J1063" t="s">
        <v>2279</v>
      </c>
      <c r="K1063" t="s">
        <v>2279</v>
      </c>
      <c r="L1063" t="s">
        <v>1439</v>
      </c>
      <c r="M1063" t="s">
        <v>2279</v>
      </c>
      <c r="N1063" t="s">
        <v>2279</v>
      </c>
      <c r="O1063" s="190" t="str">
        <f>"["&amp;$C1063&amp;"]["&amp;$D1063&amp;"]["&amp;$F1063&amp;"]"</f>
        <v>[S06_InstallationsVerificationReportsIssueDetail][4][TypeOfIssue]</v>
      </c>
    </row>
    <row r="1064" spans="1:15" x14ac:dyDescent="0.3">
      <c r="A1064" t="s">
        <v>2277</v>
      </c>
      <c r="B1064" t="s">
        <v>1985</v>
      </c>
      <c r="C1064" t="s">
        <v>1987</v>
      </c>
      <c r="D1064">
        <v>5</v>
      </c>
      <c r="E1064" t="s">
        <v>1447</v>
      </c>
      <c r="F1064" t="s">
        <v>1989</v>
      </c>
      <c r="G1064" t="s">
        <v>1737</v>
      </c>
      <c r="H1064" t="s">
        <v>2279</v>
      </c>
      <c r="I1064" t="s">
        <v>2279</v>
      </c>
      <c r="J1064" t="s">
        <v>2279</v>
      </c>
      <c r="K1064" t="s">
        <v>2279</v>
      </c>
      <c r="L1064" t="s">
        <v>1467</v>
      </c>
      <c r="M1064" t="s">
        <v>2279</v>
      </c>
      <c r="N1064" t="s">
        <v>2279</v>
      </c>
      <c r="O1064" s="190" t="str">
        <f>"["&amp;$C1064&amp;"]["&amp;$D1064&amp;"]["&amp;$F1064&amp;"]"</f>
        <v>[S06_InstallationsVerificationReportsIssueDetail][5][TypeOfIssue]</v>
      </c>
    </row>
    <row r="1065" spans="1:15" x14ac:dyDescent="0.3">
      <c r="A1065" t="s">
        <v>2277</v>
      </c>
      <c r="B1065" t="s">
        <v>1985</v>
      </c>
      <c r="C1065" t="s">
        <v>1987</v>
      </c>
      <c r="D1065">
        <v>6</v>
      </c>
      <c r="E1065" t="s">
        <v>1447</v>
      </c>
      <c r="F1065" t="s">
        <v>1989</v>
      </c>
      <c r="G1065" t="s">
        <v>1737</v>
      </c>
      <c r="H1065" t="s">
        <v>2279</v>
      </c>
      <c r="I1065" t="s">
        <v>2279</v>
      </c>
      <c r="J1065" t="s">
        <v>2279</v>
      </c>
      <c r="K1065" t="s">
        <v>2279</v>
      </c>
      <c r="L1065" t="s">
        <v>1467</v>
      </c>
      <c r="M1065" t="s">
        <v>2279</v>
      </c>
      <c r="N1065" t="s">
        <v>2279</v>
      </c>
      <c r="O1065" s="190" t="str">
        <f>"["&amp;$C1065&amp;"]["&amp;$D1065&amp;"]["&amp;$F1065&amp;"]"</f>
        <v>[S06_InstallationsVerificationReportsIssueDetail][6][TypeOfIssue]</v>
      </c>
    </row>
    <row r="1066" spans="1:15" x14ac:dyDescent="0.3">
      <c r="A1066" t="s">
        <v>2277</v>
      </c>
      <c r="B1066" t="s">
        <v>1985</v>
      </c>
      <c r="C1066" t="s">
        <v>1987</v>
      </c>
      <c r="D1066">
        <v>7</v>
      </c>
      <c r="E1066" t="s">
        <v>1447</v>
      </c>
      <c r="F1066" t="s">
        <v>1989</v>
      </c>
      <c r="G1066" t="s">
        <v>1737</v>
      </c>
      <c r="H1066" t="s">
        <v>2279</v>
      </c>
      <c r="I1066" t="s">
        <v>2279</v>
      </c>
      <c r="J1066" t="s">
        <v>2279</v>
      </c>
      <c r="K1066" t="s">
        <v>2279</v>
      </c>
      <c r="L1066" t="s">
        <v>1467</v>
      </c>
      <c r="M1066" t="s">
        <v>2279</v>
      </c>
      <c r="N1066" t="s">
        <v>2279</v>
      </c>
      <c r="O1066" s="190" t="str">
        <f>"["&amp;$C1066&amp;"]["&amp;$D1066&amp;"]["&amp;$F1066&amp;"]"</f>
        <v>[S06_InstallationsVerificationReportsIssueDetail][7][TypeOfIssue]</v>
      </c>
    </row>
    <row r="1067" spans="1:15" x14ac:dyDescent="0.3">
      <c r="A1067" t="s">
        <v>2277</v>
      </c>
      <c r="B1067" t="s">
        <v>1985</v>
      </c>
      <c r="C1067" t="s">
        <v>1987</v>
      </c>
      <c r="D1067">
        <v>8</v>
      </c>
      <c r="E1067" t="s">
        <v>1447</v>
      </c>
      <c r="F1067" t="s">
        <v>1989</v>
      </c>
      <c r="G1067" t="s">
        <v>1737</v>
      </c>
      <c r="H1067" t="s">
        <v>2279</v>
      </c>
      <c r="I1067" t="s">
        <v>2279</v>
      </c>
      <c r="J1067" t="s">
        <v>2279</v>
      </c>
      <c r="K1067" t="s">
        <v>2279</v>
      </c>
      <c r="L1067" t="s">
        <v>1467</v>
      </c>
      <c r="M1067" t="s">
        <v>2279</v>
      </c>
      <c r="N1067" t="s">
        <v>2279</v>
      </c>
      <c r="O1067" s="190" t="str">
        <f>"["&amp;$C1067&amp;"]["&amp;$D1067&amp;"]["&amp;$F1067&amp;"]"</f>
        <v>[S06_InstallationsVerificationReportsIssueDetail][8][TypeOfIssue]</v>
      </c>
    </row>
    <row r="1068" spans="1:15" x14ac:dyDescent="0.3">
      <c r="A1068" t="s">
        <v>2277</v>
      </c>
      <c r="B1068" t="s">
        <v>1985</v>
      </c>
      <c r="C1068" t="s">
        <v>1987</v>
      </c>
      <c r="D1068">
        <v>9</v>
      </c>
      <c r="E1068" t="s">
        <v>1447</v>
      </c>
      <c r="F1068" t="s">
        <v>1989</v>
      </c>
      <c r="G1068" t="s">
        <v>1737</v>
      </c>
      <c r="H1068" t="s">
        <v>2279</v>
      </c>
      <c r="I1068" t="s">
        <v>2279</v>
      </c>
      <c r="J1068" t="s">
        <v>2279</v>
      </c>
      <c r="K1068" t="s">
        <v>2279</v>
      </c>
      <c r="L1068" t="s">
        <v>1467</v>
      </c>
      <c r="M1068" t="s">
        <v>2279</v>
      </c>
      <c r="N1068" t="s">
        <v>2279</v>
      </c>
      <c r="O1068" s="190" t="str">
        <f>"["&amp;$C1068&amp;"]["&amp;$D1068&amp;"]["&amp;$F1068&amp;"]"</f>
        <v>[S06_InstallationsVerificationReportsIssueDetail][9][TypeOfIssue]</v>
      </c>
    </row>
    <row r="1069" spans="1:15" x14ac:dyDescent="0.3">
      <c r="A1069" t="s">
        <v>2277</v>
      </c>
      <c r="B1069" t="s">
        <v>1985</v>
      </c>
      <c r="C1069" t="s">
        <v>1987</v>
      </c>
      <c r="D1069">
        <v>10</v>
      </c>
      <c r="E1069" t="s">
        <v>1447</v>
      </c>
      <c r="F1069" t="s">
        <v>1989</v>
      </c>
      <c r="G1069" t="s">
        <v>1737</v>
      </c>
      <c r="H1069" t="s">
        <v>2279</v>
      </c>
      <c r="I1069" t="s">
        <v>2279</v>
      </c>
      <c r="J1069" t="s">
        <v>2279</v>
      </c>
      <c r="K1069" t="s">
        <v>2279</v>
      </c>
      <c r="L1069" t="s">
        <v>1467</v>
      </c>
      <c r="M1069" t="s">
        <v>2279</v>
      </c>
      <c r="N1069" t="s">
        <v>2279</v>
      </c>
      <c r="O1069" s="190" t="str">
        <f>"["&amp;$C1069&amp;"]["&amp;$D1069&amp;"]["&amp;$F1069&amp;"]"</f>
        <v>[S06_InstallationsVerificationReportsIssueDetail][10][TypeOfIssue]</v>
      </c>
    </row>
    <row r="1070" spans="1:15" x14ac:dyDescent="0.3">
      <c r="A1070" t="s">
        <v>2277</v>
      </c>
      <c r="B1070" t="s">
        <v>1985</v>
      </c>
      <c r="C1070" t="s">
        <v>1987</v>
      </c>
      <c r="D1070">
        <v>11</v>
      </c>
      <c r="E1070" t="s">
        <v>1447</v>
      </c>
      <c r="F1070" t="s">
        <v>1989</v>
      </c>
      <c r="G1070" t="s">
        <v>1737</v>
      </c>
      <c r="H1070" t="s">
        <v>2279</v>
      </c>
      <c r="I1070" t="s">
        <v>2279</v>
      </c>
      <c r="J1070" t="s">
        <v>2279</v>
      </c>
      <c r="K1070" t="s">
        <v>2279</v>
      </c>
      <c r="L1070" t="s">
        <v>1467</v>
      </c>
      <c r="M1070" t="s">
        <v>2279</v>
      </c>
      <c r="N1070" t="s">
        <v>2279</v>
      </c>
      <c r="O1070" s="190" t="str">
        <f>"["&amp;$C1070&amp;"]["&amp;$D1070&amp;"]["&amp;$F1070&amp;"]"</f>
        <v>[S06_InstallationsVerificationReportsIssueDetail][11][TypeOfIssue]</v>
      </c>
    </row>
    <row r="1071" spans="1:15" x14ac:dyDescent="0.3">
      <c r="A1071" t="s">
        <v>2277</v>
      </c>
      <c r="B1071" t="s">
        <v>1985</v>
      </c>
      <c r="C1071" t="s">
        <v>1987</v>
      </c>
      <c r="D1071">
        <v>12</v>
      </c>
      <c r="E1071" t="s">
        <v>1447</v>
      </c>
      <c r="F1071" t="s">
        <v>1989</v>
      </c>
      <c r="G1071" t="s">
        <v>1737</v>
      </c>
      <c r="H1071" t="s">
        <v>2279</v>
      </c>
      <c r="I1071" t="s">
        <v>2279</v>
      </c>
      <c r="J1071" t="s">
        <v>2279</v>
      </c>
      <c r="K1071" t="s">
        <v>2279</v>
      </c>
      <c r="L1071" t="s">
        <v>1492</v>
      </c>
      <c r="M1071" t="s">
        <v>2279</v>
      </c>
      <c r="N1071" t="s">
        <v>2279</v>
      </c>
      <c r="O1071" s="190" t="str">
        <f>"["&amp;$C1071&amp;"]["&amp;$D1071&amp;"]["&amp;$F1071&amp;"]"</f>
        <v>[S06_InstallationsVerificationReportsIssueDetail][12][TypeOfIssue]</v>
      </c>
    </row>
    <row r="1072" spans="1:15" x14ac:dyDescent="0.3">
      <c r="A1072" t="s">
        <v>2277</v>
      </c>
      <c r="B1072" t="s">
        <v>1985</v>
      </c>
      <c r="C1072" t="s">
        <v>1987</v>
      </c>
      <c r="D1072">
        <v>13</v>
      </c>
      <c r="E1072" t="s">
        <v>1447</v>
      </c>
      <c r="F1072" t="s">
        <v>1989</v>
      </c>
      <c r="G1072" t="s">
        <v>1737</v>
      </c>
      <c r="H1072" t="s">
        <v>2279</v>
      </c>
      <c r="I1072" t="s">
        <v>2279</v>
      </c>
      <c r="J1072" t="s">
        <v>2279</v>
      </c>
      <c r="K1072" t="s">
        <v>2279</v>
      </c>
      <c r="L1072" t="s">
        <v>1512</v>
      </c>
      <c r="M1072" t="s">
        <v>2279</v>
      </c>
      <c r="N1072" t="s">
        <v>2279</v>
      </c>
      <c r="O1072" s="190" t="str">
        <f>"["&amp;$C1072&amp;"]["&amp;$D1072&amp;"]["&amp;$F1072&amp;"]"</f>
        <v>[S06_InstallationsVerificationReportsIssueDetail][13][TypeOfIssue]</v>
      </c>
    </row>
    <row r="1073" spans="1:15" x14ac:dyDescent="0.3">
      <c r="A1073" t="s">
        <v>2277</v>
      </c>
      <c r="B1073" t="s">
        <v>1985</v>
      </c>
      <c r="C1073" t="s">
        <v>1987</v>
      </c>
      <c r="D1073">
        <v>14</v>
      </c>
      <c r="E1073" t="s">
        <v>1447</v>
      </c>
      <c r="F1073" t="s">
        <v>1989</v>
      </c>
      <c r="G1073" t="s">
        <v>1737</v>
      </c>
      <c r="H1073" t="s">
        <v>2279</v>
      </c>
      <c r="I1073" t="s">
        <v>2279</v>
      </c>
      <c r="J1073" t="s">
        <v>2279</v>
      </c>
      <c r="K1073" t="s">
        <v>2279</v>
      </c>
      <c r="L1073" t="s">
        <v>1512</v>
      </c>
      <c r="M1073" t="s">
        <v>2279</v>
      </c>
      <c r="N1073" t="s">
        <v>2279</v>
      </c>
      <c r="O1073" s="190" t="str">
        <f>"["&amp;$C1073&amp;"]["&amp;$D1073&amp;"]["&amp;$F1073&amp;"]"</f>
        <v>[S06_InstallationsVerificationReportsIssueDetail][14][TypeOfIssue]</v>
      </c>
    </row>
    <row r="1074" spans="1:15" x14ac:dyDescent="0.3">
      <c r="A1074" t="s">
        <v>2277</v>
      </c>
      <c r="B1074" t="s">
        <v>1985</v>
      </c>
      <c r="C1074" t="s">
        <v>1987</v>
      </c>
      <c r="D1074">
        <v>15</v>
      </c>
      <c r="E1074" t="s">
        <v>1447</v>
      </c>
      <c r="F1074" t="s">
        <v>1989</v>
      </c>
      <c r="G1074" t="s">
        <v>1737</v>
      </c>
      <c r="H1074" t="s">
        <v>2279</v>
      </c>
      <c r="I1074" t="s">
        <v>2279</v>
      </c>
      <c r="J1074" t="s">
        <v>2279</v>
      </c>
      <c r="K1074" t="s">
        <v>2279</v>
      </c>
      <c r="L1074" t="s">
        <v>1512</v>
      </c>
      <c r="M1074" t="s">
        <v>2279</v>
      </c>
      <c r="N1074" t="s">
        <v>2279</v>
      </c>
      <c r="O1074" s="190" t="str">
        <f>"["&amp;$C1074&amp;"]["&amp;$D1074&amp;"]["&amp;$F1074&amp;"]"</f>
        <v>[S06_InstallationsVerificationReportsIssueDetail][15][TypeOfIssue]</v>
      </c>
    </row>
    <row r="1075" spans="1:15" x14ac:dyDescent="0.3">
      <c r="A1075" t="s">
        <v>2277</v>
      </c>
      <c r="B1075" t="s">
        <v>1985</v>
      </c>
      <c r="C1075" t="s">
        <v>1987</v>
      </c>
      <c r="D1075">
        <v>16</v>
      </c>
      <c r="E1075" t="s">
        <v>1447</v>
      </c>
      <c r="F1075" t="s">
        <v>1989</v>
      </c>
      <c r="G1075" t="s">
        <v>1737</v>
      </c>
      <c r="H1075" t="s">
        <v>2279</v>
      </c>
      <c r="I1075" t="s">
        <v>2279</v>
      </c>
      <c r="J1075" t="s">
        <v>2279</v>
      </c>
      <c r="K1075" t="s">
        <v>2279</v>
      </c>
      <c r="L1075" t="s">
        <v>1512</v>
      </c>
      <c r="M1075" t="s">
        <v>2279</v>
      </c>
      <c r="N1075" t="s">
        <v>2279</v>
      </c>
      <c r="O1075" s="190" t="str">
        <f>"["&amp;$C1075&amp;"]["&amp;$D1075&amp;"]["&amp;$F1075&amp;"]"</f>
        <v>[S06_InstallationsVerificationReportsIssueDetail][16][TypeOfIssue]</v>
      </c>
    </row>
    <row r="1076" spans="1:15" x14ac:dyDescent="0.3">
      <c r="A1076" t="s">
        <v>2277</v>
      </c>
      <c r="B1076" t="s">
        <v>1985</v>
      </c>
      <c r="C1076" t="s">
        <v>1987</v>
      </c>
      <c r="D1076">
        <v>17</v>
      </c>
      <c r="E1076" t="s">
        <v>1447</v>
      </c>
      <c r="F1076" t="s">
        <v>1989</v>
      </c>
      <c r="G1076" t="s">
        <v>1737</v>
      </c>
      <c r="H1076" t="s">
        <v>2279</v>
      </c>
      <c r="I1076" t="s">
        <v>2279</v>
      </c>
      <c r="J1076" t="s">
        <v>2279</v>
      </c>
      <c r="K1076" t="s">
        <v>2279</v>
      </c>
      <c r="L1076" t="s">
        <v>1512</v>
      </c>
      <c r="M1076" t="s">
        <v>2279</v>
      </c>
      <c r="N1076" t="s">
        <v>2279</v>
      </c>
      <c r="O1076" s="190" t="str">
        <f>"["&amp;$C1076&amp;"]["&amp;$D1076&amp;"]["&amp;$F1076&amp;"]"</f>
        <v>[S06_InstallationsVerificationReportsIssueDetail][17][TypeOfIssue]</v>
      </c>
    </row>
    <row r="1077" spans="1:15" x14ac:dyDescent="0.3">
      <c r="A1077" t="s">
        <v>2277</v>
      </c>
      <c r="B1077" t="s">
        <v>1985</v>
      </c>
      <c r="C1077" t="s">
        <v>1987</v>
      </c>
      <c r="D1077">
        <v>18</v>
      </c>
      <c r="E1077" t="s">
        <v>1447</v>
      </c>
      <c r="F1077" t="s">
        <v>1989</v>
      </c>
      <c r="G1077" t="s">
        <v>1737</v>
      </c>
      <c r="H1077" t="s">
        <v>2279</v>
      </c>
      <c r="I1077" t="s">
        <v>2279</v>
      </c>
      <c r="J1077" t="s">
        <v>2279</v>
      </c>
      <c r="K1077" t="s">
        <v>2279</v>
      </c>
      <c r="L1077" t="s">
        <v>1512</v>
      </c>
      <c r="M1077" t="s">
        <v>2279</v>
      </c>
      <c r="N1077" t="s">
        <v>2279</v>
      </c>
      <c r="O1077" s="190" t="str">
        <f>"["&amp;$C1077&amp;"]["&amp;$D1077&amp;"]["&amp;$F1077&amp;"]"</f>
        <v>[S06_InstallationsVerificationReportsIssueDetail][18][TypeOfIssue]</v>
      </c>
    </row>
    <row r="1078" spans="1:15" x14ac:dyDescent="0.3">
      <c r="A1078" t="s">
        <v>2277</v>
      </c>
      <c r="B1078" t="s">
        <v>1985</v>
      </c>
      <c r="C1078" t="s">
        <v>1987</v>
      </c>
      <c r="D1078">
        <v>19</v>
      </c>
      <c r="E1078" t="s">
        <v>1447</v>
      </c>
      <c r="F1078" t="s">
        <v>1989</v>
      </c>
      <c r="G1078" t="s">
        <v>1737</v>
      </c>
      <c r="H1078" t="s">
        <v>2279</v>
      </c>
      <c r="I1078" t="s">
        <v>2279</v>
      </c>
      <c r="J1078" t="s">
        <v>2279</v>
      </c>
      <c r="K1078" t="s">
        <v>2279</v>
      </c>
      <c r="L1078" t="s">
        <v>1512</v>
      </c>
      <c r="M1078" t="s">
        <v>2279</v>
      </c>
      <c r="N1078" t="s">
        <v>2279</v>
      </c>
      <c r="O1078" s="190" t="str">
        <f>"["&amp;$C1078&amp;"]["&amp;$D1078&amp;"]["&amp;$F1078&amp;"]"</f>
        <v>[S06_InstallationsVerificationReportsIssueDetail][19][TypeOfIssue]</v>
      </c>
    </row>
    <row r="1079" spans="1:15" x14ac:dyDescent="0.3">
      <c r="A1079" t="s">
        <v>2277</v>
      </c>
      <c r="B1079" t="s">
        <v>1985</v>
      </c>
      <c r="C1079" t="s">
        <v>1987</v>
      </c>
      <c r="D1079">
        <v>20</v>
      </c>
      <c r="E1079" t="s">
        <v>1447</v>
      </c>
      <c r="F1079" t="s">
        <v>1989</v>
      </c>
      <c r="G1079" t="s">
        <v>1737</v>
      </c>
      <c r="H1079" t="s">
        <v>2279</v>
      </c>
      <c r="I1079" t="s">
        <v>2279</v>
      </c>
      <c r="J1079" t="s">
        <v>2279</v>
      </c>
      <c r="K1079" t="s">
        <v>2279</v>
      </c>
      <c r="L1079" t="s">
        <v>1512</v>
      </c>
      <c r="M1079" t="s">
        <v>2279</v>
      </c>
      <c r="N1079" t="s">
        <v>2279</v>
      </c>
      <c r="O1079" s="190" t="str">
        <f>"["&amp;$C1079&amp;"]["&amp;$D1079&amp;"]["&amp;$F1079&amp;"]"</f>
        <v>[S06_InstallationsVerificationReportsIssueDetail][20][TypeOfIssue]</v>
      </c>
    </row>
    <row r="1080" spans="1:15" x14ac:dyDescent="0.3">
      <c r="A1080" t="s">
        <v>2277</v>
      </c>
      <c r="B1080" t="s">
        <v>1985</v>
      </c>
      <c r="C1080" t="s">
        <v>1987</v>
      </c>
      <c r="D1080">
        <v>21</v>
      </c>
      <c r="E1080" t="s">
        <v>1447</v>
      </c>
      <c r="F1080" t="s">
        <v>1989</v>
      </c>
      <c r="G1080" t="s">
        <v>1737</v>
      </c>
      <c r="H1080" t="s">
        <v>2279</v>
      </c>
      <c r="I1080" t="s">
        <v>2279</v>
      </c>
      <c r="J1080" t="s">
        <v>2279</v>
      </c>
      <c r="K1080" t="s">
        <v>2279</v>
      </c>
      <c r="L1080" t="s">
        <v>1512</v>
      </c>
      <c r="M1080" t="s">
        <v>2279</v>
      </c>
      <c r="N1080" t="s">
        <v>2279</v>
      </c>
      <c r="O1080" s="190" t="str">
        <f>"["&amp;$C1080&amp;"]["&amp;$D1080&amp;"]["&amp;$F1080&amp;"]"</f>
        <v>[S06_InstallationsVerificationReportsIssueDetail][21][TypeOfIssue]</v>
      </c>
    </row>
    <row r="1081" spans="1:15" x14ac:dyDescent="0.3">
      <c r="A1081" t="s">
        <v>2277</v>
      </c>
      <c r="B1081" t="s">
        <v>1985</v>
      </c>
      <c r="C1081" t="s">
        <v>1987</v>
      </c>
      <c r="D1081">
        <v>1</v>
      </c>
      <c r="E1081" t="s">
        <v>1447</v>
      </c>
      <c r="F1081" t="s">
        <v>1798</v>
      </c>
      <c r="G1081" t="s">
        <v>1748</v>
      </c>
      <c r="H1081" t="s">
        <v>2279</v>
      </c>
      <c r="I1081">
        <v>2</v>
      </c>
      <c r="J1081" t="s">
        <v>2279</v>
      </c>
      <c r="K1081" t="s">
        <v>2279</v>
      </c>
      <c r="L1081" t="s">
        <v>2279</v>
      </c>
      <c r="M1081" t="s">
        <v>2279</v>
      </c>
      <c r="N1081" t="s">
        <v>2279</v>
      </c>
      <c r="O1081" s="190" t="str">
        <f>"["&amp;$C1081&amp;"]["&amp;$D1081&amp;"]["&amp;$F1081&amp;"]"</f>
        <v>[S06_InstallationsVerificationReportsIssueDetail][1][NumberOfInstallations]</v>
      </c>
    </row>
    <row r="1082" spans="1:15" x14ac:dyDescent="0.3">
      <c r="A1082" t="s">
        <v>2277</v>
      </c>
      <c r="B1082" t="s">
        <v>1985</v>
      </c>
      <c r="C1082" t="s">
        <v>1987</v>
      </c>
      <c r="D1082">
        <v>2</v>
      </c>
      <c r="E1082" t="s">
        <v>1447</v>
      </c>
      <c r="F1082" t="s">
        <v>1798</v>
      </c>
      <c r="G1082" t="s">
        <v>1748</v>
      </c>
      <c r="H1082" t="s">
        <v>2279</v>
      </c>
      <c r="I1082">
        <v>2</v>
      </c>
      <c r="J1082" t="s">
        <v>2279</v>
      </c>
      <c r="K1082" t="s">
        <v>2279</v>
      </c>
      <c r="L1082" t="s">
        <v>2279</v>
      </c>
      <c r="M1082" t="s">
        <v>2279</v>
      </c>
      <c r="N1082" t="s">
        <v>2279</v>
      </c>
      <c r="O1082" s="190" t="str">
        <f>"["&amp;$C1082&amp;"]["&amp;$D1082&amp;"]["&amp;$F1082&amp;"]"</f>
        <v>[S06_InstallationsVerificationReportsIssueDetail][2][NumberOfInstallations]</v>
      </c>
    </row>
    <row r="1083" spans="1:15" x14ac:dyDescent="0.3">
      <c r="A1083" t="s">
        <v>2277</v>
      </c>
      <c r="B1083" t="s">
        <v>1985</v>
      </c>
      <c r="C1083" t="s">
        <v>1987</v>
      </c>
      <c r="D1083">
        <v>3</v>
      </c>
      <c r="E1083" t="s">
        <v>1447</v>
      </c>
      <c r="F1083" t="s">
        <v>1798</v>
      </c>
      <c r="G1083" t="s">
        <v>1748</v>
      </c>
      <c r="H1083" t="s">
        <v>2279</v>
      </c>
      <c r="I1083">
        <v>9</v>
      </c>
      <c r="J1083" t="s">
        <v>2279</v>
      </c>
      <c r="K1083" t="s">
        <v>2279</v>
      </c>
      <c r="L1083" t="s">
        <v>2279</v>
      </c>
      <c r="M1083" t="s">
        <v>2279</v>
      </c>
      <c r="N1083" t="s">
        <v>2279</v>
      </c>
      <c r="O1083" s="190" t="str">
        <f>"["&amp;$C1083&amp;"]["&amp;$D1083&amp;"]["&amp;$F1083&amp;"]"</f>
        <v>[S06_InstallationsVerificationReportsIssueDetail][3][NumberOfInstallations]</v>
      </c>
    </row>
    <row r="1084" spans="1:15" x14ac:dyDescent="0.3">
      <c r="A1084" t="s">
        <v>2277</v>
      </c>
      <c r="B1084" t="s">
        <v>1985</v>
      </c>
      <c r="C1084" t="s">
        <v>1987</v>
      </c>
      <c r="D1084">
        <v>4</v>
      </c>
      <c r="E1084" t="s">
        <v>1447</v>
      </c>
      <c r="F1084" t="s">
        <v>1798</v>
      </c>
      <c r="G1084" t="s">
        <v>1748</v>
      </c>
      <c r="H1084" t="s">
        <v>2279</v>
      </c>
      <c r="I1084">
        <v>1</v>
      </c>
      <c r="J1084" t="s">
        <v>2279</v>
      </c>
      <c r="K1084" t="s">
        <v>2279</v>
      </c>
      <c r="L1084" t="s">
        <v>2279</v>
      </c>
      <c r="M1084" t="s">
        <v>2279</v>
      </c>
      <c r="N1084" t="s">
        <v>2279</v>
      </c>
      <c r="O1084" s="190" t="str">
        <f>"["&amp;$C1084&amp;"]["&amp;$D1084&amp;"]["&amp;$F1084&amp;"]"</f>
        <v>[S06_InstallationsVerificationReportsIssueDetail][4][NumberOfInstallations]</v>
      </c>
    </row>
    <row r="1085" spans="1:15" x14ac:dyDescent="0.3">
      <c r="A1085" t="s">
        <v>2277</v>
      </c>
      <c r="B1085" t="s">
        <v>1985</v>
      </c>
      <c r="C1085" t="s">
        <v>1987</v>
      </c>
      <c r="D1085">
        <v>5</v>
      </c>
      <c r="E1085" t="s">
        <v>1447</v>
      </c>
      <c r="F1085" t="s">
        <v>1798</v>
      </c>
      <c r="G1085" t="s">
        <v>1748</v>
      </c>
      <c r="H1085" t="s">
        <v>2279</v>
      </c>
      <c r="I1085">
        <v>5</v>
      </c>
      <c r="J1085" t="s">
        <v>2279</v>
      </c>
      <c r="K1085" t="s">
        <v>2279</v>
      </c>
      <c r="L1085" t="s">
        <v>2279</v>
      </c>
      <c r="M1085" t="s">
        <v>2279</v>
      </c>
      <c r="N1085" t="s">
        <v>2279</v>
      </c>
      <c r="O1085" s="190" t="str">
        <f>"["&amp;$C1085&amp;"]["&amp;$D1085&amp;"]["&amp;$F1085&amp;"]"</f>
        <v>[S06_InstallationsVerificationReportsIssueDetail][5][NumberOfInstallations]</v>
      </c>
    </row>
    <row r="1086" spans="1:15" x14ac:dyDescent="0.3">
      <c r="A1086" t="s">
        <v>2277</v>
      </c>
      <c r="B1086" t="s">
        <v>1985</v>
      </c>
      <c r="C1086" t="s">
        <v>1987</v>
      </c>
      <c r="D1086">
        <v>6</v>
      </c>
      <c r="E1086" t="s">
        <v>1447</v>
      </c>
      <c r="F1086" t="s">
        <v>1798</v>
      </c>
      <c r="G1086" t="s">
        <v>1748</v>
      </c>
      <c r="H1086" t="s">
        <v>2279</v>
      </c>
      <c r="I1086">
        <v>2</v>
      </c>
      <c r="J1086" t="s">
        <v>2279</v>
      </c>
      <c r="K1086" t="s">
        <v>2279</v>
      </c>
      <c r="L1086" t="s">
        <v>2279</v>
      </c>
      <c r="M1086" t="s">
        <v>2279</v>
      </c>
      <c r="N1086" t="s">
        <v>2279</v>
      </c>
      <c r="O1086" s="190" t="str">
        <f>"["&amp;$C1086&amp;"]["&amp;$D1086&amp;"]["&amp;$F1086&amp;"]"</f>
        <v>[S06_InstallationsVerificationReportsIssueDetail][6][NumberOfInstallations]</v>
      </c>
    </row>
    <row r="1087" spans="1:15" x14ac:dyDescent="0.3">
      <c r="A1087" t="s">
        <v>2277</v>
      </c>
      <c r="B1087" t="s">
        <v>1985</v>
      </c>
      <c r="C1087" t="s">
        <v>1987</v>
      </c>
      <c r="D1087">
        <v>7</v>
      </c>
      <c r="E1087" t="s">
        <v>1447</v>
      </c>
      <c r="F1087" t="s">
        <v>1798</v>
      </c>
      <c r="G1087" t="s">
        <v>1748</v>
      </c>
      <c r="H1087" t="s">
        <v>2279</v>
      </c>
      <c r="I1087">
        <v>1</v>
      </c>
      <c r="J1087" t="s">
        <v>2279</v>
      </c>
      <c r="K1087" t="s">
        <v>2279</v>
      </c>
      <c r="L1087" t="s">
        <v>2279</v>
      </c>
      <c r="M1087" t="s">
        <v>2279</v>
      </c>
      <c r="N1087" t="s">
        <v>2279</v>
      </c>
      <c r="O1087" s="190" t="str">
        <f>"["&amp;$C1087&amp;"]["&amp;$D1087&amp;"]["&amp;$F1087&amp;"]"</f>
        <v>[S06_InstallationsVerificationReportsIssueDetail][7][NumberOfInstallations]</v>
      </c>
    </row>
    <row r="1088" spans="1:15" x14ac:dyDescent="0.3">
      <c r="A1088" t="s">
        <v>2277</v>
      </c>
      <c r="B1088" t="s">
        <v>1985</v>
      </c>
      <c r="C1088" t="s">
        <v>1987</v>
      </c>
      <c r="D1088">
        <v>8</v>
      </c>
      <c r="E1088" t="s">
        <v>1447</v>
      </c>
      <c r="F1088" t="s">
        <v>1798</v>
      </c>
      <c r="G1088" t="s">
        <v>1748</v>
      </c>
      <c r="H1088" t="s">
        <v>2279</v>
      </c>
      <c r="I1088">
        <v>1</v>
      </c>
      <c r="J1088" t="s">
        <v>2279</v>
      </c>
      <c r="K1088" t="s">
        <v>2279</v>
      </c>
      <c r="L1088" t="s">
        <v>2279</v>
      </c>
      <c r="M1088" t="s">
        <v>2279</v>
      </c>
      <c r="N1088" t="s">
        <v>2279</v>
      </c>
      <c r="O1088" s="190" t="str">
        <f>"["&amp;$C1088&amp;"]["&amp;$D1088&amp;"]["&amp;$F1088&amp;"]"</f>
        <v>[S06_InstallationsVerificationReportsIssueDetail][8][NumberOfInstallations]</v>
      </c>
    </row>
    <row r="1089" spans="1:15" x14ac:dyDescent="0.3">
      <c r="A1089" t="s">
        <v>2277</v>
      </c>
      <c r="B1089" t="s">
        <v>1985</v>
      </c>
      <c r="C1089" t="s">
        <v>1987</v>
      </c>
      <c r="D1089">
        <v>9</v>
      </c>
      <c r="E1089" t="s">
        <v>1447</v>
      </c>
      <c r="F1089" t="s">
        <v>1798</v>
      </c>
      <c r="G1089" t="s">
        <v>1748</v>
      </c>
      <c r="H1089" t="s">
        <v>2279</v>
      </c>
      <c r="I1089">
        <v>1</v>
      </c>
      <c r="J1089" t="s">
        <v>2279</v>
      </c>
      <c r="K1089" t="s">
        <v>2279</v>
      </c>
      <c r="L1089" t="s">
        <v>2279</v>
      </c>
      <c r="M1089" t="s">
        <v>2279</v>
      </c>
      <c r="N1089" t="s">
        <v>2279</v>
      </c>
      <c r="O1089" s="190" t="str">
        <f>"["&amp;$C1089&amp;"]["&amp;$D1089&amp;"]["&amp;$F1089&amp;"]"</f>
        <v>[S06_InstallationsVerificationReportsIssueDetail][9][NumberOfInstallations]</v>
      </c>
    </row>
    <row r="1090" spans="1:15" x14ac:dyDescent="0.3">
      <c r="A1090" t="s">
        <v>2277</v>
      </c>
      <c r="B1090" t="s">
        <v>1985</v>
      </c>
      <c r="C1090" t="s">
        <v>1987</v>
      </c>
      <c r="D1090">
        <v>10</v>
      </c>
      <c r="E1090" t="s">
        <v>1447</v>
      </c>
      <c r="F1090" t="s">
        <v>1798</v>
      </c>
      <c r="G1090" t="s">
        <v>1748</v>
      </c>
      <c r="H1090" t="s">
        <v>2279</v>
      </c>
      <c r="I1090">
        <v>1</v>
      </c>
      <c r="J1090" t="s">
        <v>2279</v>
      </c>
      <c r="K1090" t="s">
        <v>2279</v>
      </c>
      <c r="L1090" t="s">
        <v>2279</v>
      </c>
      <c r="M1090" t="s">
        <v>2279</v>
      </c>
      <c r="N1090" t="s">
        <v>2279</v>
      </c>
      <c r="O1090" s="190" t="str">
        <f>"["&amp;$C1090&amp;"]["&amp;$D1090&amp;"]["&amp;$F1090&amp;"]"</f>
        <v>[S06_InstallationsVerificationReportsIssueDetail][10][NumberOfInstallations]</v>
      </c>
    </row>
    <row r="1091" spans="1:15" x14ac:dyDescent="0.3">
      <c r="A1091" t="s">
        <v>2277</v>
      </c>
      <c r="B1091" t="s">
        <v>1985</v>
      </c>
      <c r="C1091" t="s">
        <v>1987</v>
      </c>
      <c r="D1091">
        <v>11</v>
      </c>
      <c r="E1091" t="s">
        <v>1447</v>
      </c>
      <c r="F1091" t="s">
        <v>1798</v>
      </c>
      <c r="G1091" t="s">
        <v>1748</v>
      </c>
      <c r="H1091" t="s">
        <v>2279</v>
      </c>
      <c r="I1091">
        <v>1</v>
      </c>
      <c r="J1091" t="s">
        <v>2279</v>
      </c>
      <c r="K1091" t="s">
        <v>2279</v>
      </c>
      <c r="L1091" t="s">
        <v>2279</v>
      </c>
      <c r="M1091" t="s">
        <v>2279</v>
      </c>
      <c r="N1091" t="s">
        <v>2279</v>
      </c>
      <c r="O1091" s="190" t="str">
        <f>"["&amp;$C1091&amp;"]["&amp;$D1091&amp;"]["&amp;$F1091&amp;"]"</f>
        <v>[S06_InstallationsVerificationReportsIssueDetail][11][NumberOfInstallations]</v>
      </c>
    </row>
    <row r="1092" spans="1:15" x14ac:dyDescent="0.3">
      <c r="A1092" t="s">
        <v>2277</v>
      </c>
      <c r="B1092" t="s">
        <v>1985</v>
      </c>
      <c r="C1092" t="s">
        <v>1987</v>
      </c>
      <c r="D1092">
        <v>12</v>
      </c>
      <c r="E1092" t="s">
        <v>1447</v>
      </c>
      <c r="F1092" t="s">
        <v>1798</v>
      </c>
      <c r="G1092" t="s">
        <v>1748</v>
      </c>
      <c r="H1092" t="s">
        <v>2279</v>
      </c>
      <c r="I1092">
        <v>1</v>
      </c>
      <c r="J1092" t="s">
        <v>2279</v>
      </c>
      <c r="K1092" t="s">
        <v>2279</v>
      </c>
      <c r="L1092" t="s">
        <v>2279</v>
      </c>
      <c r="M1092" t="s">
        <v>2279</v>
      </c>
      <c r="N1092" t="s">
        <v>2279</v>
      </c>
      <c r="O1092" s="190" t="str">
        <f>"["&amp;$C1092&amp;"]["&amp;$D1092&amp;"]["&amp;$F1092&amp;"]"</f>
        <v>[S06_InstallationsVerificationReportsIssueDetail][12][NumberOfInstallations]</v>
      </c>
    </row>
    <row r="1093" spans="1:15" x14ac:dyDescent="0.3">
      <c r="A1093" t="s">
        <v>2277</v>
      </c>
      <c r="B1093" t="s">
        <v>1985</v>
      </c>
      <c r="C1093" t="s">
        <v>1987</v>
      </c>
      <c r="D1093">
        <v>13</v>
      </c>
      <c r="E1093" t="s">
        <v>1447</v>
      </c>
      <c r="F1093" t="s">
        <v>1798</v>
      </c>
      <c r="G1093" t="s">
        <v>1748</v>
      </c>
      <c r="H1093" t="s">
        <v>2279</v>
      </c>
      <c r="I1093">
        <v>1</v>
      </c>
      <c r="J1093" t="s">
        <v>2279</v>
      </c>
      <c r="K1093" t="s">
        <v>2279</v>
      </c>
      <c r="L1093" t="s">
        <v>2279</v>
      </c>
      <c r="M1093" t="s">
        <v>2279</v>
      </c>
      <c r="N1093" t="s">
        <v>2279</v>
      </c>
      <c r="O1093" s="190" t="str">
        <f>"["&amp;$C1093&amp;"]["&amp;$D1093&amp;"]["&amp;$F1093&amp;"]"</f>
        <v>[S06_InstallationsVerificationReportsIssueDetail][13][NumberOfInstallations]</v>
      </c>
    </row>
    <row r="1094" spans="1:15" x14ac:dyDescent="0.3">
      <c r="A1094" t="s">
        <v>2277</v>
      </c>
      <c r="B1094" t="s">
        <v>1985</v>
      </c>
      <c r="C1094" t="s">
        <v>1987</v>
      </c>
      <c r="D1094">
        <v>14</v>
      </c>
      <c r="E1094" t="s">
        <v>1447</v>
      </c>
      <c r="F1094" t="s">
        <v>1798</v>
      </c>
      <c r="G1094" t="s">
        <v>1748</v>
      </c>
      <c r="H1094" t="s">
        <v>2279</v>
      </c>
      <c r="I1094">
        <v>21</v>
      </c>
      <c r="J1094" t="s">
        <v>2279</v>
      </c>
      <c r="K1094" t="s">
        <v>2279</v>
      </c>
      <c r="L1094" t="s">
        <v>2279</v>
      </c>
      <c r="M1094" t="s">
        <v>2279</v>
      </c>
      <c r="N1094" t="s">
        <v>2279</v>
      </c>
      <c r="O1094" s="190" t="str">
        <f>"["&amp;$C1094&amp;"]["&amp;$D1094&amp;"]["&amp;$F1094&amp;"]"</f>
        <v>[S06_InstallationsVerificationReportsIssueDetail][14][NumberOfInstallations]</v>
      </c>
    </row>
    <row r="1095" spans="1:15" x14ac:dyDescent="0.3">
      <c r="A1095" t="s">
        <v>2277</v>
      </c>
      <c r="B1095" t="s">
        <v>1985</v>
      </c>
      <c r="C1095" t="s">
        <v>1987</v>
      </c>
      <c r="D1095">
        <v>15</v>
      </c>
      <c r="E1095" t="s">
        <v>1447</v>
      </c>
      <c r="F1095" t="s">
        <v>1798</v>
      </c>
      <c r="G1095" t="s">
        <v>1748</v>
      </c>
      <c r="H1095" t="s">
        <v>2279</v>
      </c>
      <c r="I1095">
        <v>4</v>
      </c>
      <c r="J1095" t="s">
        <v>2279</v>
      </c>
      <c r="K1095" t="s">
        <v>2279</v>
      </c>
      <c r="L1095" t="s">
        <v>2279</v>
      </c>
      <c r="M1095" t="s">
        <v>2279</v>
      </c>
      <c r="N1095" t="s">
        <v>2279</v>
      </c>
      <c r="O1095" s="190" t="str">
        <f>"["&amp;$C1095&amp;"]["&amp;$D1095&amp;"]["&amp;$F1095&amp;"]"</f>
        <v>[S06_InstallationsVerificationReportsIssueDetail][15][NumberOfInstallations]</v>
      </c>
    </row>
    <row r="1096" spans="1:15" x14ac:dyDescent="0.3">
      <c r="A1096" t="s">
        <v>2277</v>
      </c>
      <c r="B1096" t="s">
        <v>1985</v>
      </c>
      <c r="C1096" t="s">
        <v>1987</v>
      </c>
      <c r="D1096">
        <v>16</v>
      </c>
      <c r="E1096" t="s">
        <v>1447</v>
      </c>
      <c r="F1096" t="s">
        <v>1798</v>
      </c>
      <c r="G1096" t="s">
        <v>1748</v>
      </c>
      <c r="H1096" t="s">
        <v>2279</v>
      </c>
      <c r="I1096">
        <v>4</v>
      </c>
      <c r="J1096" t="s">
        <v>2279</v>
      </c>
      <c r="K1096" t="s">
        <v>2279</v>
      </c>
      <c r="L1096" t="s">
        <v>2279</v>
      </c>
      <c r="M1096" t="s">
        <v>2279</v>
      </c>
      <c r="N1096" t="s">
        <v>2279</v>
      </c>
      <c r="O1096" s="190" t="str">
        <f>"["&amp;$C1096&amp;"]["&amp;$D1096&amp;"]["&amp;$F1096&amp;"]"</f>
        <v>[S06_InstallationsVerificationReportsIssueDetail][16][NumberOfInstallations]</v>
      </c>
    </row>
    <row r="1097" spans="1:15" x14ac:dyDescent="0.3">
      <c r="A1097" t="s">
        <v>2277</v>
      </c>
      <c r="B1097" t="s">
        <v>1985</v>
      </c>
      <c r="C1097" t="s">
        <v>1987</v>
      </c>
      <c r="D1097">
        <v>17</v>
      </c>
      <c r="E1097" t="s">
        <v>1447</v>
      </c>
      <c r="F1097" t="s">
        <v>1798</v>
      </c>
      <c r="G1097" t="s">
        <v>1748</v>
      </c>
      <c r="H1097" t="s">
        <v>2279</v>
      </c>
      <c r="I1097">
        <v>1</v>
      </c>
      <c r="J1097" t="s">
        <v>2279</v>
      </c>
      <c r="K1097" t="s">
        <v>2279</v>
      </c>
      <c r="L1097" t="s">
        <v>2279</v>
      </c>
      <c r="M1097" t="s">
        <v>2279</v>
      </c>
      <c r="N1097" t="s">
        <v>2279</v>
      </c>
      <c r="O1097" s="190" t="str">
        <f>"["&amp;$C1097&amp;"]["&amp;$D1097&amp;"]["&amp;$F1097&amp;"]"</f>
        <v>[S06_InstallationsVerificationReportsIssueDetail][17][NumberOfInstallations]</v>
      </c>
    </row>
    <row r="1098" spans="1:15" x14ac:dyDescent="0.3">
      <c r="A1098" t="s">
        <v>2277</v>
      </c>
      <c r="B1098" t="s">
        <v>1985</v>
      </c>
      <c r="C1098" t="s">
        <v>1987</v>
      </c>
      <c r="D1098">
        <v>18</v>
      </c>
      <c r="E1098" t="s">
        <v>1447</v>
      </c>
      <c r="F1098" t="s">
        <v>1798</v>
      </c>
      <c r="G1098" t="s">
        <v>1748</v>
      </c>
      <c r="H1098" t="s">
        <v>2279</v>
      </c>
      <c r="I1098">
        <v>2</v>
      </c>
      <c r="J1098" t="s">
        <v>2279</v>
      </c>
      <c r="K1098" t="s">
        <v>2279</v>
      </c>
      <c r="L1098" t="s">
        <v>2279</v>
      </c>
      <c r="M1098" t="s">
        <v>2279</v>
      </c>
      <c r="N1098" t="s">
        <v>2279</v>
      </c>
      <c r="O1098" s="190" t="str">
        <f>"["&amp;$C1098&amp;"]["&amp;$D1098&amp;"]["&amp;$F1098&amp;"]"</f>
        <v>[S06_InstallationsVerificationReportsIssueDetail][18][NumberOfInstallations]</v>
      </c>
    </row>
    <row r="1099" spans="1:15" x14ac:dyDescent="0.3">
      <c r="A1099" t="s">
        <v>2277</v>
      </c>
      <c r="B1099" t="s">
        <v>1985</v>
      </c>
      <c r="C1099" t="s">
        <v>1987</v>
      </c>
      <c r="D1099">
        <v>19</v>
      </c>
      <c r="E1099" t="s">
        <v>1447</v>
      </c>
      <c r="F1099" t="s">
        <v>1798</v>
      </c>
      <c r="G1099" t="s">
        <v>1748</v>
      </c>
      <c r="H1099" t="s">
        <v>2279</v>
      </c>
      <c r="I1099">
        <v>5</v>
      </c>
      <c r="J1099" t="s">
        <v>2279</v>
      </c>
      <c r="K1099" t="s">
        <v>2279</v>
      </c>
      <c r="L1099" t="s">
        <v>2279</v>
      </c>
      <c r="M1099" t="s">
        <v>2279</v>
      </c>
      <c r="N1099" t="s">
        <v>2279</v>
      </c>
      <c r="O1099" s="190" t="str">
        <f>"["&amp;$C1099&amp;"]["&amp;$D1099&amp;"]["&amp;$F1099&amp;"]"</f>
        <v>[S06_InstallationsVerificationReportsIssueDetail][19][NumberOfInstallations]</v>
      </c>
    </row>
    <row r="1100" spans="1:15" x14ac:dyDescent="0.3">
      <c r="A1100" t="s">
        <v>2277</v>
      </c>
      <c r="B1100" t="s">
        <v>1985</v>
      </c>
      <c r="C1100" t="s">
        <v>1987</v>
      </c>
      <c r="D1100">
        <v>20</v>
      </c>
      <c r="E1100" t="s">
        <v>1447</v>
      </c>
      <c r="F1100" t="s">
        <v>1798</v>
      </c>
      <c r="G1100" t="s">
        <v>1748</v>
      </c>
      <c r="H1100" t="s">
        <v>2279</v>
      </c>
      <c r="I1100">
        <v>1</v>
      </c>
      <c r="J1100" t="s">
        <v>2279</v>
      </c>
      <c r="K1100" t="s">
        <v>2279</v>
      </c>
      <c r="L1100" t="s">
        <v>2279</v>
      </c>
      <c r="M1100" t="s">
        <v>2279</v>
      </c>
      <c r="N1100" t="s">
        <v>2279</v>
      </c>
      <c r="O1100" s="190" t="str">
        <f>"["&amp;$C1100&amp;"]["&amp;$D1100&amp;"]["&amp;$F1100&amp;"]"</f>
        <v>[S06_InstallationsVerificationReportsIssueDetail][20][NumberOfInstallations]</v>
      </c>
    </row>
    <row r="1101" spans="1:15" x14ac:dyDescent="0.3">
      <c r="A1101" t="s">
        <v>2277</v>
      </c>
      <c r="B1101" t="s">
        <v>1985</v>
      </c>
      <c r="C1101" t="s">
        <v>1987</v>
      </c>
      <c r="D1101">
        <v>21</v>
      </c>
      <c r="E1101" t="s">
        <v>1447</v>
      </c>
      <c r="F1101" t="s">
        <v>1798</v>
      </c>
      <c r="G1101" t="s">
        <v>1748</v>
      </c>
      <c r="H1101" t="s">
        <v>2279</v>
      </c>
      <c r="I1101">
        <v>1</v>
      </c>
      <c r="J1101" t="s">
        <v>2279</v>
      </c>
      <c r="K1101" t="s">
        <v>2279</v>
      </c>
      <c r="L1101" t="s">
        <v>2279</v>
      </c>
      <c r="M1101" t="s">
        <v>2279</v>
      </c>
      <c r="N1101" t="s">
        <v>2279</v>
      </c>
      <c r="O1101" s="190" t="str">
        <f>"["&amp;$C1101&amp;"]["&amp;$D1101&amp;"]["&amp;$F1101&amp;"]"</f>
        <v>[S06_InstallationsVerificationReportsIssueDetail][21][NumberOfInstallations]</v>
      </c>
    </row>
    <row r="1102" spans="1:15" x14ac:dyDescent="0.3">
      <c r="A1102" t="s">
        <v>2277</v>
      </c>
      <c r="B1102" t="s">
        <v>1985</v>
      </c>
      <c r="C1102" t="s">
        <v>1987</v>
      </c>
      <c r="D1102">
        <v>1</v>
      </c>
      <c r="E1102" t="s">
        <v>1447</v>
      </c>
      <c r="F1102" t="s">
        <v>1972</v>
      </c>
      <c r="G1102" t="s">
        <v>1748</v>
      </c>
      <c r="H1102" t="s">
        <v>2279</v>
      </c>
      <c r="I1102">
        <v>2</v>
      </c>
      <c r="J1102" t="s">
        <v>2279</v>
      </c>
      <c r="K1102" t="s">
        <v>2279</v>
      </c>
      <c r="L1102" t="s">
        <v>2279</v>
      </c>
      <c r="M1102" t="s">
        <v>2279</v>
      </c>
      <c r="N1102" t="s">
        <v>2279</v>
      </c>
      <c r="O1102" s="190" t="str">
        <f>"["&amp;$C1102&amp;"]["&amp;$D1102&amp;"]["&amp;$F1102&amp;"]"</f>
        <v>[S06_InstallationsVerificationReportsIssueDetail][1][NumberOfIssues]</v>
      </c>
    </row>
    <row r="1103" spans="1:15" x14ac:dyDescent="0.3">
      <c r="A1103" t="s">
        <v>2277</v>
      </c>
      <c r="B1103" t="s">
        <v>1985</v>
      </c>
      <c r="C1103" t="s">
        <v>1987</v>
      </c>
      <c r="D1103">
        <v>2</v>
      </c>
      <c r="E1103" t="s">
        <v>1447</v>
      </c>
      <c r="F1103" t="s">
        <v>1972</v>
      </c>
      <c r="G1103" t="s">
        <v>1748</v>
      </c>
      <c r="H1103" t="s">
        <v>2279</v>
      </c>
      <c r="I1103">
        <v>2</v>
      </c>
      <c r="J1103" t="s">
        <v>2279</v>
      </c>
      <c r="K1103" t="s">
        <v>2279</v>
      </c>
      <c r="L1103" t="s">
        <v>2279</v>
      </c>
      <c r="M1103" t="s">
        <v>2279</v>
      </c>
      <c r="N1103" t="s">
        <v>2279</v>
      </c>
      <c r="O1103" s="190" t="str">
        <f>"["&amp;$C1103&amp;"]["&amp;$D1103&amp;"]["&amp;$F1103&amp;"]"</f>
        <v>[S06_InstallationsVerificationReportsIssueDetail][2][NumberOfIssues]</v>
      </c>
    </row>
    <row r="1104" spans="1:15" x14ac:dyDescent="0.3">
      <c r="A1104" t="s">
        <v>2277</v>
      </c>
      <c r="B1104" t="s">
        <v>1985</v>
      </c>
      <c r="C1104" t="s">
        <v>1987</v>
      </c>
      <c r="D1104">
        <v>3</v>
      </c>
      <c r="E1104" t="s">
        <v>1447</v>
      </c>
      <c r="F1104" t="s">
        <v>1972</v>
      </c>
      <c r="G1104" t="s">
        <v>1748</v>
      </c>
      <c r="H1104" t="s">
        <v>2279</v>
      </c>
      <c r="I1104">
        <v>9</v>
      </c>
      <c r="J1104" t="s">
        <v>2279</v>
      </c>
      <c r="K1104" t="s">
        <v>2279</v>
      </c>
      <c r="L1104" t="s">
        <v>2279</v>
      </c>
      <c r="M1104" t="s">
        <v>2279</v>
      </c>
      <c r="N1104" t="s">
        <v>2279</v>
      </c>
      <c r="O1104" s="190" t="str">
        <f>"["&amp;$C1104&amp;"]["&amp;$D1104&amp;"]["&amp;$F1104&amp;"]"</f>
        <v>[S06_InstallationsVerificationReportsIssueDetail][3][NumberOfIssues]</v>
      </c>
    </row>
    <row r="1105" spans="1:15" x14ac:dyDescent="0.3">
      <c r="A1105" t="s">
        <v>2277</v>
      </c>
      <c r="B1105" t="s">
        <v>1985</v>
      </c>
      <c r="C1105" t="s">
        <v>1987</v>
      </c>
      <c r="D1105">
        <v>4</v>
      </c>
      <c r="E1105" t="s">
        <v>1447</v>
      </c>
      <c r="F1105" t="s">
        <v>1972</v>
      </c>
      <c r="G1105" t="s">
        <v>1748</v>
      </c>
      <c r="H1105" t="s">
        <v>2279</v>
      </c>
      <c r="I1105">
        <v>1</v>
      </c>
      <c r="J1105" t="s">
        <v>2279</v>
      </c>
      <c r="K1105" t="s">
        <v>2279</v>
      </c>
      <c r="L1105" t="s">
        <v>2279</v>
      </c>
      <c r="M1105" t="s">
        <v>2279</v>
      </c>
      <c r="N1105" t="s">
        <v>2279</v>
      </c>
      <c r="O1105" s="190" t="str">
        <f>"["&amp;$C1105&amp;"]["&amp;$D1105&amp;"]["&amp;$F1105&amp;"]"</f>
        <v>[S06_InstallationsVerificationReportsIssueDetail][4][NumberOfIssues]</v>
      </c>
    </row>
    <row r="1106" spans="1:15" x14ac:dyDescent="0.3">
      <c r="A1106" t="s">
        <v>2277</v>
      </c>
      <c r="B1106" t="s">
        <v>1985</v>
      </c>
      <c r="C1106" t="s">
        <v>1987</v>
      </c>
      <c r="D1106">
        <v>5</v>
      </c>
      <c r="E1106" t="s">
        <v>1447</v>
      </c>
      <c r="F1106" t="s">
        <v>1972</v>
      </c>
      <c r="G1106" t="s">
        <v>1748</v>
      </c>
      <c r="H1106" t="s">
        <v>2279</v>
      </c>
      <c r="I1106">
        <v>5</v>
      </c>
      <c r="J1106" t="s">
        <v>2279</v>
      </c>
      <c r="K1106" t="s">
        <v>2279</v>
      </c>
      <c r="L1106" t="s">
        <v>2279</v>
      </c>
      <c r="M1106" t="s">
        <v>2279</v>
      </c>
      <c r="N1106" t="s">
        <v>2279</v>
      </c>
      <c r="O1106" s="190" t="str">
        <f>"["&amp;$C1106&amp;"]["&amp;$D1106&amp;"]["&amp;$F1106&amp;"]"</f>
        <v>[S06_InstallationsVerificationReportsIssueDetail][5][NumberOfIssues]</v>
      </c>
    </row>
    <row r="1107" spans="1:15" x14ac:dyDescent="0.3">
      <c r="A1107" t="s">
        <v>2277</v>
      </c>
      <c r="B1107" t="s">
        <v>1985</v>
      </c>
      <c r="C1107" t="s">
        <v>1987</v>
      </c>
      <c r="D1107">
        <v>6</v>
      </c>
      <c r="E1107" t="s">
        <v>1447</v>
      </c>
      <c r="F1107" t="s">
        <v>1972</v>
      </c>
      <c r="G1107" t="s">
        <v>1748</v>
      </c>
      <c r="H1107" t="s">
        <v>2279</v>
      </c>
      <c r="I1107">
        <v>2</v>
      </c>
      <c r="J1107" t="s">
        <v>2279</v>
      </c>
      <c r="K1107" t="s">
        <v>2279</v>
      </c>
      <c r="L1107" t="s">
        <v>2279</v>
      </c>
      <c r="M1107" t="s">
        <v>2279</v>
      </c>
      <c r="N1107" t="s">
        <v>2279</v>
      </c>
      <c r="O1107" s="190" t="str">
        <f>"["&amp;$C1107&amp;"]["&amp;$D1107&amp;"]["&amp;$F1107&amp;"]"</f>
        <v>[S06_InstallationsVerificationReportsIssueDetail][6][NumberOfIssues]</v>
      </c>
    </row>
    <row r="1108" spans="1:15" x14ac:dyDescent="0.3">
      <c r="A1108" t="s">
        <v>2277</v>
      </c>
      <c r="B1108" t="s">
        <v>1985</v>
      </c>
      <c r="C1108" t="s">
        <v>1987</v>
      </c>
      <c r="D1108">
        <v>7</v>
      </c>
      <c r="E1108" t="s">
        <v>1447</v>
      </c>
      <c r="F1108" t="s">
        <v>1972</v>
      </c>
      <c r="G1108" t="s">
        <v>1748</v>
      </c>
      <c r="H1108" t="s">
        <v>2279</v>
      </c>
      <c r="I1108">
        <v>1</v>
      </c>
      <c r="J1108" t="s">
        <v>2279</v>
      </c>
      <c r="K1108" t="s">
        <v>2279</v>
      </c>
      <c r="L1108" t="s">
        <v>2279</v>
      </c>
      <c r="M1108" t="s">
        <v>2279</v>
      </c>
      <c r="N1108" t="s">
        <v>2279</v>
      </c>
      <c r="O1108" s="190" t="str">
        <f>"["&amp;$C1108&amp;"]["&amp;$D1108&amp;"]["&amp;$F1108&amp;"]"</f>
        <v>[S06_InstallationsVerificationReportsIssueDetail][7][NumberOfIssues]</v>
      </c>
    </row>
    <row r="1109" spans="1:15" x14ac:dyDescent="0.3">
      <c r="A1109" t="s">
        <v>2277</v>
      </c>
      <c r="B1109" t="s">
        <v>1985</v>
      </c>
      <c r="C1109" t="s">
        <v>1987</v>
      </c>
      <c r="D1109">
        <v>8</v>
      </c>
      <c r="E1109" t="s">
        <v>1447</v>
      </c>
      <c r="F1109" t="s">
        <v>1972</v>
      </c>
      <c r="G1109" t="s">
        <v>1748</v>
      </c>
      <c r="H1109" t="s">
        <v>2279</v>
      </c>
      <c r="I1109">
        <v>1</v>
      </c>
      <c r="J1109" t="s">
        <v>2279</v>
      </c>
      <c r="K1109" t="s">
        <v>2279</v>
      </c>
      <c r="L1109" t="s">
        <v>2279</v>
      </c>
      <c r="M1109" t="s">
        <v>2279</v>
      </c>
      <c r="N1109" t="s">
        <v>2279</v>
      </c>
      <c r="O1109" s="190" t="str">
        <f>"["&amp;$C1109&amp;"]["&amp;$D1109&amp;"]["&amp;$F1109&amp;"]"</f>
        <v>[S06_InstallationsVerificationReportsIssueDetail][8][NumberOfIssues]</v>
      </c>
    </row>
    <row r="1110" spans="1:15" x14ac:dyDescent="0.3">
      <c r="A1110" t="s">
        <v>2277</v>
      </c>
      <c r="B1110" t="s">
        <v>1985</v>
      </c>
      <c r="C1110" t="s">
        <v>1987</v>
      </c>
      <c r="D1110">
        <v>9</v>
      </c>
      <c r="E1110" t="s">
        <v>1447</v>
      </c>
      <c r="F1110" t="s">
        <v>1972</v>
      </c>
      <c r="G1110" t="s">
        <v>1748</v>
      </c>
      <c r="H1110" t="s">
        <v>2279</v>
      </c>
      <c r="I1110">
        <v>1</v>
      </c>
      <c r="J1110" t="s">
        <v>2279</v>
      </c>
      <c r="K1110" t="s">
        <v>2279</v>
      </c>
      <c r="L1110" t="s">
        <v>2279</v>
      </c>
      <c r="M1110" t="s">
        <v>2279</v>
      </c>
      <c r="N1110" t="s">
        <v>2279</v>
      </c>
      <c r="O1110" s="190" t="str">
        <f>"["&amp;$C1110&amp;"]["&amp;$D1110&amp;"]["&amp;$F1110&amp;"]"</f>
        <v>[S06_InstallationsVerificationReportsIssueDetail][9][NumberOfIssues]</v>
      </c>
    </row>
    <row r="1111" spans="1:15" x14ac:dyDescent="0.3">
      <c r="A1111" t="s">
        <v>2277</v>
      </c>
      <c r="B1111" t="s">
        <v>1985</v>
      </c>
      <c r="C1111" t="s">
        <v>1987</v>
      </c>
      <c r="D1111">
        <v>10</v>
      </c>
      <c r="E1111" t="s">
        <v>1447</v>
      </c>
      <c r="F1111" t="s">
        <v>1972</v>
      </c>
      <c r="G1111" t="s">
        <v>1748</v>
      </c>
      <c r="H1111" t="s">
        <v>2279</v>
      </c>
      <c r="I1111">
        <v>1</v>
      </c>
      <c r="J1111" t="s">
        <v>2279</v>
      </c>
      <c r="K1111" t="s">
        <v>2279</v>
      </c>
      <c r="L1111" t="s">
        <v>2279</v>
      </c>
      <c r="M1111" t="s">
        <v>2279</v>
      </c>
      <c r="N1111" t="s">
        <v>2279</v>
      </c>
      <c r="O1111" s="190" t="str">
        <f>"["&amp;$C1111&amp;"]["&amp;$D1111&amp;"]["&amp;$F1111&amp;"]"</f>
        <v>[S06_InstallationsVerificationReportsIssueDetail][10][NumberOfIssues]</v>
      </c>
    </row>
    <row r="1112" spans="1:15" x14ac:dyDescent="0.3">
      <c r="A1112" t="s">
        <v>2277</v>
      </c>
      <c r="B1112" t="s">
        <v>1985</v>
      </c>
      <c r="C1112" t="s">
        <v>1987</v>
      </c>
      <c r="D1112">
        <v>11</v>
      </c>
      <c r="E1112" t="s">
        <v>1447</v>
      </c>
      <c r="F1112" t="s">
        <v>1972</v>
      </c>
      <c r="G1112" t="s">
        <v>1748</v>
      </c>
      <c r="H1112" t="s">
        <v>2279</v>
      </c>
      <c r="I1112">
        <v>1</v>
      </c>
      <c r="J1112" t="s">
        <v>2279</v>
      </c>
      <c r="K1112" t="s">
        <v>2279</v>
      </c>
      <c r="L1112" t="s">
        <v>2279</v>
      </c>
      <c r="M1112" t="s">
        <v>2279</v>
      </c>
      <c r="N1112" t="s">
        <v>2279</v>
      </c>
      <c r="O1112" s="190" t="str">
        <f>"["&amp;$C1112&amp;"]["&amp;$D1112&amp;"]["&amp;$F1112&amp;"]"</f>
        <v>[S06_InstallationsVerificationReportsIssueDetail][11][NumberOfIssues]</v>
      </c>
    </row>
    <row r="1113" spans="1:15" x14ac:dyDescent="0.3">
      <c r="A1113" t="s">
        <v>2277</v>
      </c>
      <c r="B1113" t="s">
        <v>1985</v>
      </c>
      <c r="C1113" t="s">
        <v>1987</v>
      </c>
      <c r="D1113">
        <v>12</v>
      </c>
      <c r="E1113" t="s">
        <v>1447</v>
      </c>
      <c r="F1113" t="s">
        <v>1972</v>
      </c>
      <c r="G1113" t="s">
        <v>1748</v>
      </c>
      <c r="H1113" t="s">
        <v>2279</v>
      </c>
      <c r="I1113">
        <v>1</v>
      </c>
      <c r="J1113" t="s">
        <v>2279</v>
      </c>
      <c r="K1113" t="s">
        <v>2279</v>
      </c>
      <c r="L1113" t="s">
        <v>2279</v>
      </c>
      <c r="M1113" t="s">
        <v>2279</v>
      </c>
      <c r="N1113" t="s">
        <v>2279</v>
      </c>
      <c r="O1113" s="190" t="str">
        <f>"["&amp;$C1113&amp;"]["&amp;$D1113&amp;"]["&amp;$F1113&amp;"]"</f>
        <v>[S06_InstallationsVerificationReportsIssueDetail][12][NumberOfIssues]</v>
      </c>
    </row>
    <row r="1114" spans="1:15" x14ac:dyDescent="0.3">
      <c r="A1114" t="s">
        <v>2277</v>
      </c>
      <c r="B1114" t="s">
        <v>1985</v>
      </c>
      <c r="C1114" t="s">
        <v>1987</v>
      </c>
      <c r="D1114">
        <v>13</v>
      </c>
      <c r="E1114" t="s">
        <v>1447</v>
      </c>
      <c r="F1114" t="s">
        <v>1972</v>
      </c>
      <c r="G1114" t="s">
        <v>1748</v>
      </c>
      <c r="H1114" t="s">
        <v>2279</v>
      </c>
      <c r="I1114">
        <v>1</v>
      </c>
      <c r="J1114" t="s">
        <v>2279</v>
      </c>
      <c r="K1114" t="s">
        <v>2279</v>
      </c>
      <c r="L1114" t="s">
        <v>2279</v>
      </c>
      <c r="M1114" t="s">
        <v>2279</v>
      </c>
      <c r="N1114" t="s">
        <v>2279</v>
      </c>
      <c r="O1114" s="190" t="str">
        <f>"["&amp;$C1114&amp;"]["&amp;$D1114&amp;"]["&amp;$F1114&amp;"]"</f>
        <v>[S06_InstallationsVerificationReportsIssueDetail][13][NumberOfIssues]</v>
      </c>
    </row>
    <row r="1115" spans="1:15" x14ac:dyDescent="0.3">
      <c r="A1115" t="s">
        <v>2277</v>
      </c>
      <c r="B1115" t="s">
        <v>1985</v>
      </c>
      <c r="C1115" t="s">
        <v>1987</v>
      </c>
      <c r="D1115">
        <v>14</v>
      </c>
      <c r="E1115" t="s">
        <v>1447</v>
      </c>
      <c r="F1115" t="s">
        <v>1972</v>
      </c>
      <c r="G1115" t="s">
        <v>1748</v>
      </c>
      <c r="H1115" t="s">
        <v>2279</v>
      </c>
      <c r="I1115">
        <v>25</v>
      </c>
      <c r="J1115" t="s">
        <v>2279</v>
      </c>
      <c r="K1115" t="s">
        <v>2279</v>
      </c>
      <c r="L1115" t="s">
        <v>2279</v>
      </c>
      <c r="M1115" t="s">
        <v>2279</v>
      </c>
      <c r="N1115" t="s">
        <v>2279</v>
      </c>
      <c r="O1115" s="190" t="str">
        <f>"["&amp;$C1115&amp;"]["&amp;$D1115&amp;"]["&amp;$F1115&amp;"]"</f>
        <v>[S06_InstallationsVerificationReportsIssueDetail][14][NumberOfIssues]</v>
      </c>
    </row>
    <row r="1116" spans="1:15" x14ac:dyDescent="0.3">
      <c r="A1116" t="s">
        <v>2277</v>
      </c>
      <c r="B1116" t="s">
        <v>1985</v>
      </c>
      <c r="C1116" t="s">
        <v>1987</v>
      </c>
      <c r="D1116">
        <v>15</v>
      </c>
      <c r="E1116" t="s">
        <v>1447</v>
      </c>
      <c r="F1116" t="s">
        <v>1972</v>
      </c>
      <c r="G1116" t="s">
        <v>1748</v>
      </c>
      <c r="H1116" t="s">
        <v>2279</v>
      </c>
      <c r="I1116">
        <v>6</v>
      </c>
      <c r="J1116" t="s">
        <v>2279</v>
      </c>
      <c r="K1116" t="s">
        <v>2279</v>
      </c>
      <c r="L1116" t="s">
        <v>2279</v>
      </c>
      <c r="M1116" t="s">
        <v>2279</v>
      </c>
      <c r="N1116" t="s">
        <v>2279</v>
      </c>
      <c r="O1116" s="190" t="str">
        <f>"["&amp;$C1116&amp;"]["&amp;$D1116&amp;"]["&amp;$F1116&amp;"]"</f>
        <v>[S06_InstallationsVerificationReportsIssueDetail][15][NumberOfIssues]</v>
      </c>
    </row>
    <row r="1117" spans="1:15" x14ac:dyDescent="0.3">
      <c r="A1117" t="s">
        <v>2277</v>
      </c>
      <c r="B1117" t="s">
        <v>1985</v>
      </c>
      <c r="C1117" t="s">
        <v>1987</v>
      </c>
      <c r="D1117">
        <v>16</v>
      </c>
      <c r="E1117" t="s">
        <v>1447</v>
      </c>
      <c r="F1117" t="s">
        <v>1972</v>
      </c>
      <c r="G1117" t="s">
        <v>1748</v>
      </c>
      <c r="H1117" t="s">
        <v>2279</v>
      </c>
      <c r="I1117">
        <v>6</v>
      </c>
      <c r="J1117" t="s">
        <v>2279</v>
      </c>
      <c r="K1117" t="s">
        <v>2279</v>
      </c>
      <c r="L1117" t="s">
        <v>2279</v>
      </c>
      <c r="M1117" t="s">
        <v>2279</v>
      </c>
      <c r="N1117" t="s">
        <v>2279</v>
      </c>
      <c r="O1117" s="190" t="str">
        <f>"["&amp;$C1117&amp;"]["&amp;$D1117&amp;"]["&amp;$F1117&amp;"]"</f>
        <v>[S06_InstallationsVerificationReportsIssueDetail][16][NumberOfIssues]</v>
      </c>
    </row>
    <row r="1118" spans="1:15" x14ac:dyDescent="0.3">
      <c r="A1118" t="s">
        <v>2277</v>
      </c>
      <c r="B1118" t="s">
        <v>1985</v>
      </c>
      <c r="C1118" t="s">
        <v>1987</v>
      </c>
      <c r="D1118">
        <v>17</v>
      </c>
      <c r="E1118" t="s">
        <v>1447</v>
      </c>
      <c r="F1118" t="s">
        <v>1972</v>
      </c>
      <c r="G1118" t="s">
        <v>1748</v>
      </c>
      <c r="H1118" t="s">
        <v>2279</v>
      </c>
      <c r="I1118">
        <v>1</v>
      </c>
      <c r="J1118" t="s">
        <v>2279</v>
      </c>
      <c r="K1118" t="s">
        <v>2279</v>
      </c>
      <c r="L1118" t="s">
        <v>2279</v>
      </c>
      <c r="M1118" t="s">
        <v>2279</v>
      </c>
      <c r="N1118" t="s">
        <v>2279</v>
      </c>
      <c r="O1118" s="190" t="str">
        <f>"["&amp;$C1118&amp;"]["&amp;$D1118&amp;"]["&amp;$F1118&amp;"]"</f>
        <v>[S06_InstallationsVerificationReportsIssueDetail][17][NumberOfIssues]</v>
      </c>
    </row>
    <row r="1119" spans="1:15" x14ac:dyDescent="0.3">
      <c r="A1119" t="s">
        <v>2277</v>
      </c>
      <c r="B1119" t="s">
        <v>1985</v>
      </c>
      <c r="C1119" t="s">
        <v>1987</v>
      </c>
      <c r="D1119">
        <v>18</v>
      </c>
      <c r="E1119" t="s">
        <v>1447</v>
      </c>
      <c r="F1119" t="s">
        <v>1972</v>
      </c>
      <c r="G1119" t="s">
        <v>1748</v>
      </c>
      <c r="H1119" t="s">
        <v>2279</v>
      </c>
      <c r="I1119">
        <v>2</v>
      </c>
      <c r="J1119" t="s">
        <v>2279</v>
      </c>
      <c r="K1119" t="s">
        <v>2279</v>
      </c>
      <c r="L1119" t="s">
        <v>2279</v>
      </c>
      <c r="M1119" t="s">
        <v>2279</v>
      </c>
      <c r="N1119" t="s">
        <v>2279</v>
      </c>
      <c r="O1119" s="190" t="str">
        <f>"["&amp;$C1119&amp;"]["&amp;$D1119&amp;"]["&amp;$F1119&amp;"]"</f>
        <v>[S06_InstallationsVerificationReportsIssueDetail][18][NumberOfIssues]</v>
      </c>
    </row>
    <row r="1120" spans="1:15" x14ac:dyDescent="0.3">
      <c r="A1120" t="s">
        <v>2277</v>
      </c>
      <c r="B1120" t="s">
        <v>1985</v>
      </c>
      <c r="C1120" t="s">
        <v>1987</v>
      </c>
      <c r="D1120">
        <v>19</v>
      </c>
      <c r="E1120" t="s">
        <v>1447</v>
      </c>
      <c r="F1120" t="s">
        <v>1972</v>
      </c>
      <c r="G1120" t="s">
        <v>1748</v>
      </c>
      <c r="H1120" t="s">
        <v>2279</v>
      </c>
      <c r="I1120">
        <v>10</v>
      </c>
      <c r="J1120" t="s">
        <v>2279</v>
      </c>
      <c r="K1120" t="s">
        <v>2279</v>
      </c>
      <c r="L1120" t="s">
        <v>2279</v>
      </c>
      <c r="M1120" t="s">
        <v>2279</v>
      </c>
      <c r="N1120" t="s">
        <v>2279</v>
      </c>
      <c r="O1120" s="190" t="str">
        <f>"["&amp;$C1120&amp;"]["&amp;$D1120&amp;"]["&amp;$F1120&amp;"]"</f>
        <v>[S06_InstallationsVerificationReportsIssueDetail][19][NumberOfIssues]</v>
      </c>
    </row>
    <row r="1121" spans="1:15" x14ac:dyDescent="0.3">
      <c r="A1121" t="s">
        <v>2277</v>
      </c>
      <c r="B1121" t="s">
        <v>1985</v>
      </c>
      <c r="C1121" t="s">
        <v>1987</v>
      </c>
      <c r="D1121">
        <v>20</v>
      </c>
      <c r="E1121" t="s">
        <v>1447</v>
      </c>
      <c r="F1121" t="s">
        <v>1972</v>
      </c>
      <c r="G1121" t="s">
        <v>1748</v>
      </c>
      <c r="H1121" t="s">
        <v>2279</v>
      </c>
      <c r="I1121">
        <v>1</v>
      </c>
      <c r="J1121" t="s">
        <v>2279</v>
      </c>
      <c r="K1121" t="s">
        <v>2279</v>
      </c>
      <c r="L1121" t="s">
        <v>2279</v>
      </c>
      <c r="M1121" t="s">
        <v>2279</v>
      </c>
      <c r="N1121" t="s">
        <v>2279</v>
      </c>
      <c r="O1121" s="190" t="str">
        <f>"["&amp;$C1121&amp;"]["&amp;$D1121&amp;"]["&amp;$F1121&amp;"]"</f>
        <v>[S06_InstallationsVerificationReportsIssueDetail][20][NumberOfIssues]</v>
      </c>
    </row>
    <row r="1122" spans="1:15" x14ac:dyDescent="0.3">
      <c r="A1122" t="s">
        <v>2277</v>
      </c>
      <c r="B1122" t="s">
        <v>1985</v>
      </c>
      <c r="C1122" t="s">
        <v>1987</v>
      </c>
      <c r="D1122">
        <v>21</v>
      </c>
      <c r="E1122" t="s">
        <v>1447</v>
      </c>
      <c r="F1122" t="s">
        <v>1972</v>
      </c>
      <c r="G1122" t="s">
        <v>1748</v>
      </c>
      <c r="H1122" t="s">
        <v>2279</v>
      </c>
      <c r="I1122">
        <v>1</v>
      </c>
      <c r="J1122" t="s">
        <v>2279</v>
      </c>
      <c r="K1122" t="s">
        <v>2279</v>
      </c>
      <c r="L1122" t="s">
        <v>2279</v>
      </c>
      <c r="M1122" t="s">
        <v>2279</v>
      </c>
      <c r="N1122" t="s">
        <v>2279</v>
      </c>
      <c r="O1122" s="190" t="str">
        <f>"["&amp;$C1122&amp;"]["&amp;$D1122&amp;"]["&amp;$F1122&amp;"]"</f>
        <v>[S06_InstallationsVerificationReportsIssueDetail][21][NumberOfIssues]</v>
      </c>
    </row>
    <row r="1123" spans="1:15" x14ac:dyDescent="0.3">
      <c r="A1123" t="s">
        <v>2277</v>
      </c>
      <c r="B1123" t="s">
        <v>1985</v>
      </c>
      <c r="C1123" t="s">
        <v>1987</v>
      </c>
      <c r="D1123">
        <v>1</v>
      </c>
      <c r="E1123" t="s">
        <v>1447</v>
      </c>
      <c r="F1123" t="s">
        <v>1990</v>
      </c>
      <c r="G1123" t="s">
        <v>1806</v>
      </c>
      <c r="H1123" t="s">
        <v>2279</v>
      </c>
      <c r="I1123" t="s">
        <v>2279</v>
      </c>
      <c r="J1123">
        <v>0</v>
      </c>
      <c r="K1123" t="s">
        <v>2279</v>
      </c>
      <c r="L1123" t="s">
        <v>2279</v>
      </c>
      <c r="M1123" t="s">
        <v>2279</v>
      </c>
      <c r="N1123" t="s">
        <v>2279</v>
      </c>
      <c r="O1123" s="190" t="str">
        <f>"["&amp;$C1123&amp;"]["&amp;$D1123&amp;"]["&amp;$F1123&amp;"]"</f>
        <v>[S06_InstallationsVerificationReportsIssueDetail][1][ShareOfReportsConservativeEstimate]</v>
      </c>
    </row>
    <row r="1124" spans="1:15" x14ac:dyDescent="0.3">
      <c r="A1124" t="s">
        <v>2277</v>
      </c>
      <c r="B1124" t="s">
        <v>1985</v>
      </c>
      <c r="C1124" t="s">
        <v>1987</v>
      </c>
      <c r="D1124">
        <v>2</v>
      </c>
      <c r="E1124" t="s">
        <v>1447</v>
      </c>
      <c r="F1124" t="s">
        <v>1990</v>
      </c>
      <c r="G1124" t="s">
        <v>1806</v>
      </c>
      <c r="H1124" t="s">
        <v>2279</v>
      </c>
      <c r="I1124" t="s">
        <v>2279</v>
      </c>
      <c r="J1124">
        <v>0</v>
      </c>
      <c r="K1124" t="s">
        <v>2279</v>
      </c>
      <c r="L1124" t="s">
        <v>2279</v>
      </c>
      <c r="M1124" t="s">
        <v>2279</v>
      </c>
      <c r="N1124" t="s">
        <v>2279</v>
      </c>
      <c r="O1124" s="190" t="str">
        <f>"["&amp;$C1124&amp;"]["&amp;$D1124&amp;"]["&amp;$F1124&amp;"]"</f>
        <v>[S06_InstallationsVerificationReportsIssueDetail][2][ShareOfReportsConservativeEstimate]</v>
      </c>
    </row>
    <row r="1125" spans="1:15" x14ac:dyDescent="0.3">
      <c r="A1125" t="s">
        <v>2277</v>
      </c>
      <c r="B1125" t="s">
        <v>1985</v>
      </c>
      <c r="C1125" t="s">
        <v>1987</v>
      </c>
      <c r="D1125">
        <v>3</v>
      </c>
      <c r="E1125" t="s">
        <v>1447</v>
      </c>
      <c r="F1125" t="s">
        <v>1990</v>
      </c>
      <c r="G1125" t="s">
        <v>1806</v>
      </c>
      <c r="H1125" t="s">
        <v>2279</v>
      </c>
      <c r="I1125" t="s">
        <v>2279</v>
      </c>
      <c r="J1125">
        <v>0</v>
      </c>
      <c r="K1125" t="s">
        <v>2279</v>
      </c>
      <c r="L1125" t="s">
        <v>2279</v>
      </c>
      <c r="M1125" t="s">
        <v>2279</v>
      </c>
      <c r="N1125" t="s">
        <v>2279</v>
      </c>
      <c r="O1125" s="190" t="str">
        <f>"["&amp;$C1125&amp;"]["&amp;$D1125&amp;"]["&amp;$F1125&amp;"]"</f>
        <v>[S06_InstallationsVerificationReportsIssueDetail][3][ShareOfReportsConservativeEstimate]</v>
      </c>
    </row>
    <row r="1126" spans="1:15" x14ac:dyDescent="0.3">
      <c r="A1126" t="s">
        <v>2277</v>
      </c>
      <c r="B1126" t="s">
        <v>1985</v>
      </c>
      <c r="C1126" t="s">
        <v>1987</v>
      </c>
      <c r="D1126">
        <v>4</v>
      </c>
      <c r="E1126" t="s">
        <v>1447</v>
      </c>
      <c r="F1126" t="s">
        <v>1990</v>
      </c>
      <c r="G1126" t="s">
        <v>1806</v>
      </c>
      <c r="H1126" t="s">
        <v>2279</v>
      </c>
      <c r="I1126" t="s">
        <v>2279</v>
      </c>
      <c r="J1126">
        <v>0</v>
      </c>
      <c r="K1126" t="s">
        <v>2279</v>
      </c>
      <c r="L1126" t="s">
        <v>2279</v>
      </c>
      <c r="M1126" t="s">
        <v>2279</v>
      </c>
      <c r="N1126" t="s">
        <v>2279</v>
      </c>
      <c r="O1126" s="190" t="str">
        <f>"["&amp;$C1126&amp;"]["&amp;$D1126&amp;"]["&amp;$F1126&amp;"]"</f>
        <v>[S06_InstallationsVerificationReportsIssueDetail][4][ShareOfReportsConservativeEstimate]</v>
      </c>
    </row>
    <row r="1127" spans="1:15" x14ac:dyDescent="0.3">
      <c r="A1127" t="s">
        <v>2277</v>
      </c>
      <c r="B1127" t="s">
        <v>1985</v>
      </c>
      <c r="C1127" t="s">
        <v>1987</v>
      </c>
      <c r="D1127">
        <v>5</v>
      </c>
      <c r="E1127" t="s">
        <v>1447</v>
      </c>
      <c r="F1127" t="s">
        <v>1990</v>
      </c>
      <c r="G1127" t="s">
        <v>1806</v>
      </c>
      <c r="H1127" t="s">
        <v>2279</v>
      </c>
      <c r="I1127" t="s">
        <v>2279</v>
      </c>
      <c r="J1127">
        <v>0</v>
      </c>
      <c r="K1127" t="s">
        <v>2279</v>
      </c>
      <c r="L1127" t="s">
        <v>2279</v>
      </c>
      <c r="M1127" t="s">
        <v>2279</v>
      </c>
      <c r="N1127" t="s">
        <v>2279</v>
      </c>
      <c r="O1127" s="190" t="str">
        <f>"["&amp;$C1127&amp;"]["&amp;$D1127&amp;"]["&amp;$F1127&amp;"]"</f>
        <v>[S06_InstallationsVerificationReportsIssueDetail][5][ShareOfReportsConservativeEstimate]</v>
      </c>
    </row>
    <row r="1128" spans="1:15" x14ac:dyDescent="0.3">
      <c r="A1128" t="s">
        <v>2277</v>
      </c>
      <c r="B1128" t="s">
        <v>1985</v>
      </c>
      <c r="C1128" t="s">
        <v>1987</v>
      </c>
      <c r="D1128">
        <v>6</v>
      </c>
      <c r="E1128" t="s">
        <v>1447</v>
      </c>
      <c r="F1128" t="s">
        <v>1990</v>
      </c>
      <c r="G1128" t="s">
        <v>1806</v>
      </c>
      <c r="H1128" t="s">
        <v>2279</v>
      </c>
      <c r="I1128" t="s">
        <v>2279</v>
      </c>
      <c r="J1128">
        <v>0</v>
      </c>
      <c r="K1128" t="s">
        <v>2279</v>
      </c>
      <c r="L1128" t="s">
        <v>2279</v>
      </c>
      <c r="M1128" t="s">
        <v>2279</v>
      </c>
      <c r="N1128" t="s">
        <v>2279</v>
      </c>
      <c r="O1128" s="190" t="str">
        <f>"["&amp;$C1128&amp;"]["&amp;$D1128&amp;"]["&amp;$F1128&amp;"]"</f>
        <v>[S06_InstallationsVerificationReportsIssueDetail][6][ShareOfReportsConservativeEstimate]</v>
      </c>
    </row>
    <row r="1129" spans="1:15" x14ac:dyDescent="0.3">
      <c r="A1129" t="s">
        <v>2277</v>
      </c>
      <c r="B1129" t="s">
        <v>1985</v>
      </c>
      <c r="C1129" t="s">
        <v>1987</v>
      </c>
      <c r="D1129">
        <v>7</v>
      </c>
      <c r="E1129" t="s">
        <v>1447</v>
      </c>
      <c r="F1129" t="s">
        <v>1990</v>
      </c>
      <c r="G1129" t="s">
        <v>1806</v>
      </c>
      <c r="H1129" t="s">
        <v>2279</v>
      </c>
      <c r="I1129" t="s">
        <v>2279</v>
      </c>
      <c r="J1129">
        <v>0</v>
      </c>
      <c r="K1129" t="s">
        <v>2279</v>
      </c>
      <c r="L1129" t="s">
        <v>2279</v>
      </c>
      <c r="M1129" t="s">
        <v>2279</v>
      </c>
      <c r="N1129" t="s">
        <v>2279</v>
      </c>
      <c r="O1129" s="190" t="str">
        <f>"["&amp;$C1129&amp;"]["&amp;$D1129&amp;"]["&amp;$F1129&amp;"]"</f>
        <v>[S06_InstallationsVerificationReportsIssueDetail][7][ShareOfReportsConservativeEstimate]</v>
      </c>
    </row>
    <row r="1130" spans="1:15" x14ac:dyDescent="0.3">
      <c r="A1130" t="s">
        <v>2277</v>
      </c>
      <c r="B1130" t="s">
        <v>1985</v>
      </c>
      <c r="C1130" t="s">
        <v>1987</v>
      </c>
      <c r="D1130">
        <v>8</v>
      </c>
      <c r="E1130" t="s">
        <v>1447</v>
      </c>
      <c r="F1130" t="s">
        <v>1990</v>
      </c>
      <c r="G1130" t="s">
        <v>1806</v>
      </c>
      <c r="H1130" t="s">
        <v>2279</v>
      </c>
      <c r="I1130" t="s">
        <v>2279</v>
      </c>
      <c r="J1130">
        <v>0</v>
      </c>
      <c r="K1130" t="s">
        <v>2279</v>
      </c>
      <c r="L1130" t="s">
        <v>2279</v>
      </c>
      <c r="M1130" t="s">
        <v>2279</v>
      </c>
      <c r="N1130" t="s">
        <v>2279</v>
      </c>
      <c r="O1130" s="190" t="str">
        <f>"["&amp;$C1130&amp;"]["&amp;$D1130&amp;"]["&amp;$F1130&amp;"]"</f>
        <v>[S06_InstallationsVerificationReportsIssueDetail][8][ShareOfReportsConservativeEstimate]</v>
      </c>
    </row>
    <row r="1131" spans="1:15" x14ac:dyDescent="0.3">
      <c r="A1131" t="s">
        <v>2277</v>
      </c>
      <c r="B1131" t="s">
        <v>1985</v>
      </c>
      <c r="C1131" t="s">
        <v>1987</v>
      </c>
      <c r="D1131">
        <v>9</v>
      </c>
      <c r="E1131" t="s">
        <v>1447</v>
      </c>
      <c r="F1131" t="s">
        <v>1990</v>
      </c>
      <c r="G1131" t="s">
        <v>1806</v>
      </c>
      <c r="H1131" t="s">
        <v>2279</v>
      </c>
      <c r="I1131" t="s">
        <v>2279</v>
      </c>
      <c r="J1131">
        <v>0</v>
      </c>
      <c r="K1131" t="s">
        <v>2279</v>
      </c>
      <c r="L1131" t="s">
        <v>2279</v>
      </c>
      <c r="M1131" t="s">
        <v>2279</v>
      </c>
      <c r="N1131" t="s">
        <v>2279</v>
      </c>
      <c r="O1131" s="190" t="str">
        <f>"["&amp;$C1131&amp;"]["&amp;$D1131&amp;"]["&amp;$F1131&amp;"]"</f>
        <v>[S06_InstallationsVerificationReportsIssueDetail][9][ShareOfReportsConservativeEstimate]</v>
      </c>
    </row>
    <row r="1132" spans="1:15" x14ac:dyDescent="0.3">
      <c r="A1132" t="s">
        <v>2277</v>
      </c>
      <c r="B1132" t="s">
        <v>1985</v>
      </c>
      <c r="C1132" t="s">
        <v>1987</v>
      </c>
      <c r="D1132">
        <v>10</v>
      </c>
      <c r="E1132" t="s">
        <v>1447</v>
      </c>
      <c r="F1132" t="s">
        <v>1990</v>
      </c>
      <c r="G1132" t="s">
        <v>1806</v>
      </c>
      <c r="H1132" t="s">
        <v>2279</v>
      </c>
      <c r="I1132" t="s">
        <v>2279</v>
      </c>
      <c r="J1132">
        <v>0</v>
      </c>
      <c r="K1132" t="s">
        <v>2279</v>
      </c>
      <c r="L1132" t="s">
        <v>2279</v>
      </c>
      <c r="M1132" t="s">
        <v>2279</v>
      </c>
      <c r="N1132" t="s">
        <v>2279</v>
      </c>
      <c r="O1132" s="190" t="str">
        <f>"["&amp;$C1132&amp;"]["&amp;$D1132&amp;"]["&amp;$F1132&amp;"]"</f>
        <v>[S06_InstallationsVerificationReportsIssueDetail][10][ShareOfReportsConservativeEstimate]</v>
      </c>
    </row>
    <row r="1133" spans="1:15" x14ac:dyDescent="0.3">
      <c r="A1133" t="s">
        <v>2277</v>
      </c>
      <c r="B1133" t="s">
        <v>1985</v>
      </c>
      <c r="C1133" t="s">
        <v>1987</v>
      </c>
      <c r="D1133">
        <v>11</v>
      </c>
      <c r="E1133" t="s">
        <v>1447</v>
      </c>
      <c r="F1133" t="s">
        <v>1990</v>
      </c>
      <c r="G1133" t="s">
        <v>1806</v>
      </c>
      <c r="H1133" t="s">
        <v>2279</v>
      </c>
      <c r="I1133" t="s">
        <v>2279</v>
      </c>
      <c r="J1133">
        <v>0</v>
      </c>
      <c r="K1133" t="s">
        <v>2279</v>
      </c>
      <c r="L1133" t="s">
        <v>2279</v>
      </c>
      <c r="M1133" t="s">
        <v>2279</v>
      </c>
      <c r="N1133" t="s">
        <v>2279</v>
      </c>
      <c r="O1133" s="190" t="str">
        <f>"["&amp;$C1133&amp;"]["&amp;$D1133&amp;"]["&amp;$F1133&amp;"]"</f>
        <v>[S06_InstallationsVerificationReportsIssueDetail][11][ShareOfReportsConservativeEstimate]</v>
      </c>
    </row>
    <row r="1134" spans="1:15" x14ac:dyDescent="0.3">
      <c r="A1134" t="s">
        <v>2277</v>
      </c>
      <c r="B1134" t="s">
        <v>1985</v>
      </c>
      <c r="C1134" t="s">
        <v>1987</v>
      </c>
      <c r="D1134">
        <v>12</v>
      </c>
      <c r="E1134" t="s">
        <v>1447</v>
      </c>
      <c r="F1134" t="s">
        <v>1990</v>
      </c>
      <c r="G1134" t="s">
        <v>1806</v>
      </c>
      <c r="H1134" t="s">
        <v>2279</v>
      </c>
      <c r="I1134" t="s">
        <v>2279</v>
      </c>
      <c r="J1134">
        <v>0</v>
      </c>
      <c r="K1134" t="s">
        <v>2279</v>
      </c>
      <c r="L1134" t="s">
        <v>2279</v>
      </c>
      <c r="M1134" t="s">
        <v>2279</v>
      </c>
      <c r="N1134" t="s">
        <v>2279</v>
      </c>
      <c r="O1134" s="190" t="str">
        <f>"["&amp;$C1134&amp;"]["&amp;$D1134&amp;"]["&amp;$F1134&amp;"]"</f>
        <v>[S06_InstallationsVerificationReportsIssueDetail][12][ShareOfReportsConservativeEstimate]</v>
      </c>
    </row>
    <row r="1135" spans="1:15" x14ac:dyDescent="0.3">
      <c r="A1135" t="s">
        <v>2277</v>
      </c>
      <c r="B1135" t="s">
        <v>1985</v>
      </c>
      <c r="C1135" t="s">
        <v>1987</v>
      </c>
      <c r="D1135">
        <v>13</v>
      </c>
      <c r="E1135" t="s">
        <v>1447</v>
      </c>
      <c r="F1135" t="s">
        <v>1990</v>
      </c>
      <c r="G1135" t="s">
        <v>1806</v>
      </c>
      <c r="H1135" t="s">
        <v>2279</v>
      </c>
      <c r="I1135" t="s">
        <v>2279</v>
      </c>
      <c r="J1135">
        <v>0</v>
      </c>
      <c r="K1135" t="s">
        <v>2279</v>
      </c>
      <c r="L1135" t="s">
        <v>2279</v>
      </c>
      <c r="M1135" t="s">
        <v>2279</v>
      </c>
      <c r="N1135" t="s">
        <v>2279</v>
      </c>
      <c r="O1135" s="190" t="str">
        <f>"["&amp;$C1135&amp;"]["&amp;$D1135&amp;"]["&amp;$F1135&amp;"]"</f>
        <v>[S06_InstallationsVerificationReportsIssueDetail][13][ShareOfReportsConservativeEstimate]</v>
      </c>
    </row>
    <row r="1136" spans="1:15" x14ac:dyDescent="0.3">
      <c r="A1136" t="s">
        <v>2277</v>
      </c>
      <c r="B1136" t="s">
        <v>1985</v>
      </c>
      <c r="C1136" t="s">
        <v>1987</v>
      </c>
      <c r="D1136">
        <v>14</v>
      </c>
      <c r="E1136" t="s">
        <v>1447</v>
      </c>
      <c r="F1136" t="s">
        <v>1990</v>
      </c>
      <c r="G1136" t="s">
        <v>1806</v>
      </c>
      <c r="H1136" t="s">
        <v>2279</v>
      </c>
      <c r="I1136" t="s">
        <v>2279</v>
      </c>
      <c r="J1136">
        <v>0</v>
      </c>
      <c r="K1136" t="s">
        <v>2279</v>
      </c>
      <c r="L1136" t="s">
        <v>2279</v>
      </c>
      <c r="M1136" t="s">
        <v>2279</v>
      </c>
      <c r="N1136" t="s">
        <v>2279</v>
      </c>
      <c r="O1136" s="190" t="str">
        <f>"["&amp;$C1136&amp;"]["&amp;$D1136&amp;"]["&amp;$F1136&amp;"]"</f>
        <v>[S06_InstallationsVerificationReportsIssueDetail][14][ShareOfReportsConservativeEstimate]</v>
      </c>
    </row>
    <row r="1137" spans="1:15" x14ac:dyDescent="0.3">
      <c r="A1137" t="s">
        <v>2277</v>
      </c>
      <c r="B1137" t="s">
        <v>1985</v>
      </c>
      <c r="C1137" t="s">
        <v>1987</v>
      </c>
      <c r="D1137">
        <v>15</v>
      </c>
      <c r="E1137" t="s">
        <v>1447</v>
      </c>
      <c r="F1137" t="s">
        <v>1990</v>
      </c>
      <c r="G1137" t="s">
        <v>1806</v>
      </c>
      <c r="H1137" t="s">
        <v>2279</v>
      </c>
      <c r="I1137" t="s">
        <v>2279</v>
      </c>
      <c r="J1137">
        <v>0</v>
      </c>
      <c r="K1137" t="s">
        <v>2279</v>
      </c>
      <c r="L1137" t="s">
        <v>2279</v>
      </c>
      <c r="M1137" t="s">
        <v>2279</v>
      </c>
      <c r="N1137" t="s">
        <v>2279</v>
      </c>
      <c r="O1137" s="190" t="str">
        <f>"["&amp;$C1137&amp;"]["&amp;$D1137&amp;"]["&amp;$F1137&amp;"]"</f>
        <v>[S06_InstallationsVerificationReportsIssueDetail][15][ShareOfReportsConservativeEstimate]</v>
      </c>
    </row>
    <row r="1138" spans="1:15" x14ac:dyDescent="0.3">
      <c r="A1138" t="s">
        <v>2277</v>
      </c>
      <c r="B1138" t="s">
        <v>1985</v>
      </c>
      <c r="C1138" t="s">
        <v>1987</v>
      </c>
      <c r="D1138">
        <v>16</v>
      </c>
      <c r="E1138" t="s">
        <v>1447</v>
      </c>
      <c r="F1138" t="s">
        <v>1990</v>
      </c>
      <c r="G1138" t="s">
        <v>1806</v>
      </c>
      <c r="H1138" t="s">
        <v>2279</v>
      </c>
      <c r="I1138" t="s">
        <v>2279</v>
      </c>
      <c r="J1138">
        <v>0</v>
      </c>
      <c r="K1138" t="s">
        <v>2279</v>
      </c>
      <c r="L1138" t="s">
        <v>2279</v>
      </c>
      <c r="M1138" t="s">
        <v>2279</v>
      </c>
      <c r="N1138" t="s">
        <v>2279</v>
      </c>
      <c r="O1138" s="190" t="str">
        <f>"["&amp;$C1138&amp;"]["&amp;$D1138&amp;"]["&amp;$F1138&amp;"]"</f>
        <v>[S06_InstallationsVerificationReportsIssueDetail][16][ShareOfReportsConservativeEstimate]</v>
      </c>
    </row>
    <row r="1139" spans="1:15" x14ac:dyDescent="0.3">
      <c r="A1139" t="s">
        <v>2277</v>
      </c>
      <c r="B1139" t="s">
        <v>1985</v>
      </c>
      <c r="C1139" t="s">
        <v>1987</v>
      </c>
      <c r="D1139">
        <v>17</v>
      </c>
      <c r="E1139" t="s">
        <v>1447</v>
      </c>
      <c r="F1139" t="s">
        <v>1990</v>
      </c>
      <c r="G1139" t="s">
        <v>1806</v>
      </c>
      <c r="H1139" t="s">
        <v>2279</v>
      </c>
      <c r="I1139" t="s">
        <v>2279</v>
      </c>
      <c r="J1139">
        <v>0</v>
      </c>
      <c r="K1139" t="s">
        <v>2279</v>
      </c>
      <c r="L1139" t="s">
        <v>2279</v>
      </c>
      <c r="M1139" t="s">
        <v>2279</v>
      </c>
      <c r="N1139" t="s">
        <v>2279</v>
      </c>
      <c r="O1139" s="190" t="str">
        <f>"["&amp;$C1139&amp;"]["&amp;$D1139&amp;"]["&amp;$F1139&amp;"]"</f>
        <v>[S06_InstallationsVerificationReportsIssueDetail][17][ShareOfReportsConservativeEstimate]</v>
      </c>
    </row>
    <row r="1140" spans="1:15" x14ac:dyDescent="0.3">
      <c r="A1140" t="s">
        <v>2277</v>
      </c>
      <c r="B1140" t="s">
        <v>1985</v>
      </c>
      <c r="C1140" t="s">
        <v>1987</v>
      </c>
      <c r="D1140">
        <v>18</v>
      </c>
      <c r="E1140" t="s">
        <v>1447</v>
      </c>
      <c r="F1140" t="s">
        <v>1990</v>
      </c>
      <c r="G1140" t="s">
        <v>1806</v>
      </c>
      <c r="H1140" t="s">
        <v>2279</v>
      </c>
      <c r="I1140" t="s">
        <v>2279</v>
      </c>
      <c r="J1140">
        <v>0</v>
      </c>
      <c r="K1140" t="s">
        <v>2279</v>
      </c>
      <c r="L1140" t="s">
        <v>2279</v>
      </c>
      <c r="M1140" t="s">
        <v>2279</v>
      </c>
      <c r="N1140" t="s">
        <v>2279</v>
      </c>
      <c r="O1140" s="190" t="str">
        <f>"["&amp;$C1140&amp;"]["&amp;$D1140&amp;"]["&amp;$F1140&amp;"]"</f>
        <v>[S06_InstallationsVerificationReportsIssueDetail][18][ShareOfReportsConservativeEstimate]</v>
      </c>
    </row>
    <row r="1141" spans="1:15" x14ac:dyDescent="0.3">
      <c r="A1141" t="s">
        <v>2277</v>
      </c>
      <c r="B1141" t="s">
        <v>1985</v>
      </c>
      <c r="C1141" t="s">
        <v>1987</v>
      </c>
      <c r="D1141">
        <v>19</v>
      </c>
      <c r="E1141" t="s">
        <v>1447</v>
      </c>
      <c r="F1141" t="s">
        <v>1990</v>
      </c>
      <c r="G1141" t="s">
        <v>1806</v>
      </c>
      <c r="H1141" t="s">
        <v>2279</v>
      </c>
      <c r="I1141" t="s">
        <v>2279</v>
      </c>
      <c r="J1141">
        <v>0</v>
      </c>
      <c r="K1141" t="s">
        <v>2279</v>
      </c>
      <c r="L1141" t="s">
        <v>2279</v>
      </c>
      <c r="M1141" t="s">
        <v>2279</v>
      </c>
      <c r="N1141" t="s">
        <v>2279</v>
      </c>
      <c r="O1141" s="190" t="str">
        <f>"["&amp;$C1141&amp;"]["&amp;$D1141&amp;"]["&amp;$F1141&amp;"]"</f>
        <v>[S06_InstallationsVerificationReportsIssueDetail][19][ShareOfReportsConservativeEstimate]</v>
      </c>
    </row>
    <row r="1142" spans="1:15" x14ac:dyDescent="0.3">
      <c r="A1142" t="s">
        <v>2277</v>
      </c>
      <c r="B1142" t="s">
        <v>1985</v>
      </c>
      <c r="C1142" t="s">
        <v>1987</v>
      </c>
      <c r="D1142">
        <v>20</v>
      </c>
      <c r="E1142" t="s">
        <v>1447</v>
      </c>
      <c r="F1142" t="s">
        <v>1990</v>
      </c>
      <c r="G1142" t="s">
        <v>1806</v>
      </c>
      <c r="H1142" t="s">
        <v>2279</v>
      </c>
      <c r="I1142" t="s">
        <v>2279</v>
      </c>
      <c r="J1142">
        <v>0</v>
      </c>
      <c r="K1142" t="s">
        <v>2279</v>
      </c>
      <c r="L1142" t="s">
        <v>2279</v>
      </c>
      <c r="M1142" t="s">
        <v>2279</v>
      </c>
      <c r="N1142" t="s">
        <v>2279</v>
      </c>
      <c r="O1142" s="190" t="str">
        <f>"["&amp;$C1142&amp;"]["&amp;$D1142&amp;"]["&amp;$F1142&amp;"]"</f>
        <v>[S06_InstallationsVerificationReportsIssueDetail][20][ShareOfReportsConservativeEstimate]</v>
      </c>
    </row>
    <row r="1143" spans="1:15" x14ac:dyDescent="0.3">
      <c r="A1143" t="s">
        <v>2277</v>
      </c>
      <c r="B1143" t="s">
        <v>1985</v>
      </c>
      <c r="C1143" t="s">
        <v>1987</v>
      </c>
      <c r="D1143">
        <v>21</v>
      </c>
      <c r="E1143" t="s">
        <v>1447</v>
      </c>
      <c r="F1143" t="s">
        <v>1990</v>
      </c>
      <c r="G1143" t="s">
        <v>1806</v>
      </c>
      <c r="H1143" t="s">
        <v>2279</v>
      </c>
      <c r="I1143" t="s">
        <v>2279</v>
      </c>
      <c r="J1143">
        <v>0</v>
      </c>
      <c r="K1143" t="s">
        <v>2279</v>
      </c>
      <c r="L1143" t="s">
        <v>2279</v>
      </c>
      <c r="M1143" t="s">
        <v>2279</v>
      </c>
      <c r="N1143" t="s">
        <v>2279</v>
      </c>
      <c r="O1143" s="190" t="str">
        <f>"["&amp;$C1143&amp;"]["&amp;$D1143&amp;"]["&amp;$F1143&amp;"]"</f>
        <v>[S06_InstallationsVerificationReportsIssueDetail][21][ShareOfReportsConservativeEstimate]</v>
      </c>
    </row>
    <row r="1144" spans="1:15" x14ac:dyDescent="0.3">
      <c r="A1144" t="s">
        <v>2277</v>
      </c>
      <c r="B1144" t="s">
        <v>1991</v>
      </c>
      <c r="C1144" t="s">
        <v>1993</v>
      </c>
      <c r="D1144">
        <v>1</v>
      </c>
      <c r="E1144" t="s">
        <v>1447</v>
      </c>
      <c r="F1144" t="s">
        <v>1994</v>
      </c>
      <c r="G1144" t="s">
        <v>1806</v>
      </c>
      <c r="H1144" t="s">
        <v>2279</v>
      </c>
      <c r="I1144" t="s">
        <v>2279</v>
      </c>
      <c r="J1144">
        <v>1</v>
      </c>
      <c r="K1144" t="s">
        <v>2279</v>
      </c>
      <c r="L1144" t="s">
        <v>2279</v>
      </c>
      <c r="M1144" t="s">
        <v>2279</v>
      </c>
      <c r="N1144" t="s">
        <v>2279</v>
      </c>
      <c r="O1144" s="190" t="str">
        <f>"["&amp;$C1144&amp;"]["&amp;$D1144&amp;"]["&amp;$F1144&amp;"]"</f>
        <v>[S06_InstallationsVerificationReportChecksDetail1][1][PercentageShare]</v>
      </c>
    </row>
    <row r="1145" spans="1:15" x14ac:dyDescent="0.3">
      <c r="A1145" t="s">
        <v>2277</v>
      </c>
      <c r="B1145" t="s">
        <v>1991</v>
      </c>
      <c r="C1145" t="s">
        <v>1993</v>
      </c>
      <c r="D1145">
        <v>2</v>
      </c>
      <c r="E1145" t="s">
        <v>1447</v>
      </c>
      <c r="F1145" t="s">
        <v>1994</v>
      </c>
      <c r="G1145" t="s">
        <v>1806</v>
      </c>
      <c r="H1145" t="s">
        <v>2279</v>
      </c>
      <c r="I1145" t="s">
        <v>2279</v>
      </c>
      <c r="J1145">
        <v>0.3</v>
      </c>
      <c r="K1145" t="s">
        <v>2279</v>
      </c>
      <c r="L1145" t="s">
        <v>2279</v>
      </c>
      <c r="M1145" t="s">
        <v>2279</v>
      </c>
      <c r="N1145" t="s">
        <v>2279</v>
      </c>
      <c r="O1145" s="190" t="str">
        <f>"["&amp;$C1145&amp;"]["&amp;$D1145&amp;"]["&amp;$F1145&amp;"]"</f>
        <v>[S06_InstallationsVerificationReportChecksDetail1][2][PercentageShare]</v>
      </c>
    </row>
    <row r="1146" spans="1:15" x14ac:dyDescent="0.3">
      <c r="A1146" t="s">
        <v>2277</v>
      </c>
      <c r="B1146" t="s">
        <v>1991</v>
      </c>
      <c r="C1146" t="s">
        <v>1993</v>
      </c>
      <c r="D1146">
        <v>3</v>
      </c>
      <c r="E1146" t="s">
        <v>1447</v>
      </c>
      <c r="F1146" t="s">
        <v>1994</v>
      </c>
      <c r="G1146" t="s">
        <v>1806</v>
      </c>
      <c r="H1146" t="s">
        <v>2279</v>
      </c>
      <c r="I1146" t="s">
        <v>2279</v>
      </c>
      <c r="J1146">
        <v>0.1</v>
      </c>
      <c r="K1146" t="s">
        <v>2279</v>
      </c>
      <c r="L1146" t="s">
        <v>2279</v>
      </c>
      <c r="M1146" t="s">
        <v>2279</v>
      </c>
      <c r="N1146" t="s">
        <v>2279</v>
      </c>
      <c r="O1146" s="190" t="str">
        <f>"["&amp;$C1146&amp;"]["&amp;$D1146&amp;"]["&amp;$F1146&amp;"]"</f>
        <v>[S06_InstallationsVerificationReportChecksDetail1][3][PercentageShare]</v>
      </c>
    </row>
    <row r="1147" spans="1:15" x14ac:dyDescent="0.3">
      <c r="A1147" t="s">
        <v>2277</v>
      </c>
      <c r="B1147" t="s">
        <v>1991</v>
      </c>
      <c r="C1147" t="s">
        <v>1993</v>
      </c>
      <c r="D1147">
        <v>4</v>
      </c>
      <c r="E1147" t="s">
        <v>1447</v>
      </c>
      <c r="F1147" t="s">
        <v>1994</v>
      </c>
      <c r="G1147" t="s">
        <v>1806</v>
      </c>
      <c r="H1147" t="s">
        <v>2279</v>
      </c>
      <c r="I1147" t="s">
        <v>2279</v>
      </c>
      <c r="J1147">
        <v>0.3</v>
      </c>
      <c r="K1147" t="s">
        <v>2279</v>
      </c>
      <c r="L1147" t="s">
        <v>2279</v>
      </c>
      <c r="M1147" t="s">
        <v>2279</v>
      </c>
      <c r="N1147" t="s">
        <v>2279</v>
      </c>
      <c r="O1147" s="190" t="str">
        <f>"["&amp;$C1147&amp;"]["&amp;$D1147&amp;"]["&amp;$F1147&amp;"]"</f>
        <v>[S06_InstallationsVerificationReportChecksDetail1][4][PercentageShare]</v>
      </c>
    </row>
    <row r="1148" spans="1:15" x14ac:dyDescent="0.3">
      <c r="A1148" t="s">
        <v>2277</v>
      </c>
      <c r="B1148" t="s">
        <v>1991</v>
      </c>
      <c r="C1148" t="s">
        <v>1993</v>
      </c>
      <c r="D1148">
        <v>5</v>
      </c>
      <c r="E1148" t="s">
        <v>1447</v>
      </c>
      <c r="F1148" t="s">
        <v>1994</v>
      </c>
      <c r="G1148" t="s">
        <v>1806</v>
      </c>
      <c r="H1148" t="s">
        <v>2279</v>
      </c>
      <c r="I1148" t="s">
        <v>2279</v>
      </c>
      <c r="J1148">
        <v>0.3</v>
      </c>
      <c r="K1148" t="s">
        <v>2279</v>
      </c>
      <c r="L1148" t="s">
        <v>2279</v>
      </c>
      <c r="M1148" t="s">
        <v>2279</v>
      </c>
      <c r="N1148" t="s">
        <v>2279</v>
      </c>
      <c r="O1148" s="190" t="str">
        <f>"["&amp;$C1148&amp;"]["&amp;$D1148&amp;"]["&amp;$F1148&amp;"]"</f>
        <v>[S06_InstallationsVerificationReportChecksDetail1][5][PercentageShare]</v>
      </c>
    </row>
    <row r="1149" spans="1:15" x14ac:dyDescent="0.3">
      <c r="A1149" t="s">
        <v>2277</v>
      </c>
      <c r="B1149" t="s">
        <v>1991</v>
      </c>
      <c r="C1149" t="s">
        <v>1993</v>
      </c>
      <c r="D1149">
        <v>4</v>
      </c>
      <c r="E1149" t="s">
        <v>1447</v>
      </c>
      <c r="F1149" t="s">
        <v>1995</v>
      </c>
      <c r="G1149" t="s">
        <v>1791</v>
      </c>
      <c r="H1149" t="s">
        <v>2279</v>
      </c>
      <c r="I1149" t="s">
        <v>2279</v>
      </c>
      <c r="J1149" t="s">
        <v>2279</v>
      </c>
      <c r="K1149" t="s">
        <v>2393</v>
      </c>
      <c r="L1149" t="s">
        <v>2279</v>
      </c>
      <c r="M1149" t="s">
        <v>2279</v>
      </c>
      <c r="N1149" t="s">
        <v>2279</v>
      </c>
      <c r="O1149" s="190" t="str">
        <f>"["&amp;$C1149&amp;"]["&amp;$D1149&amp;"]["&amp;$F1149&amp;"]"</f>
        <v>[S06_InstallationsVerificationReportChecksDetail1][4][FurtherInformation]</v>
      </c>
    </row>
    <row r="1150" spans="1:15" x14ac:dyDescent="0.3">
      <c r="A1150" t="s">
        <v>2277</v>
      </c>
      <c r="B1150" t="s">
        <v>1991</v>
      </c>
      <c r="C1150" t="s">
        <v>1993</v>
      </c>
      <c r="D1150">
        <v>5</v>
      </c>
      <c r="E1150" t="s">
        <v>1447</v>
      </c>
      <c r="F1150" t="s">
        <v>1995</v>
      </c>
      <c r="G1150" t="s">
        <v>1791</v>
      </c>
      <c r="H1150" t="s">
        <v>2279</v>
      </c>
      <c r="I1150" t="s">
        <v>2279</v>
      </c>
      <c r="J1150" t="s">
        <v>2279</v>
      </c>
      <c r="K1150" t="s">
        <v>2394</v>
      </c>
      <c r="L1150" t="s">
        <v>2279</v>
      </c>
      <c r="M1150" t="s">
        <v>2279</v>
      </c>
      <c r="N1150" t="s">
        <v>2279</v>
      </c>
      <c r="O1150" s="190" t="str">
        <f>"["&amp;$C1150&amp;"]["&amp;$D1150&amp;"]["&amp;$F1150&amp;"]"</f>
        <v>[S06_InstallationsVerificationReportChecksDetail1][5][FurtherInformation]</v>
      </c>
    </row>
    <row r="1151" spans="1:15" x14ac:dyDescent="0.3">
      <c r="A1151" t="s">
        <v>2277</v>
      </c>
      <c r="B1151" t="s">
        <v>1991</v>
      </c>
      <c r="C1151" t="s">
        <v>1993</v>
      </c>
      <c r="D1151">
        <v>5</v>
      </c>
      <c r="E1151" t="s">
        <v>1447</v>
      </c>
      <c r="F1151" t="s">
        <v>1996</v>
      </c>
      <c r="G1151" t="s">
        <v>1737</v>
      </c>
      <c r="H1151" t="s">
        <v>2279</v>
      </c>
      <c r="I1151" t="s">
        <v>2279</v>
      </c>
      <c r="J1151" t="s">
        <v>2279</v>
      </c>
      <c r="K1151" t="s">
        <v>2279</v>
      </c>
      <c r="L1151" t="s">
        <v>1440</v>
      </c>
      <c r="M1151" t="s">
        <v>2279</v>
      </c>
      <c r="N1151" t="s">
        <v>2279</v>
      </c>
      <c r="O1151" s="190" t="str">
        <f>"["&amp;$C1151&amp;"]["&amp;$D1151&amp;"]["&amp;$F1151&amp;"]"</f>
        <v>[S06_InstallationsVerificationReportChecksDetail1][5][SelectingCriteria]</v>
      </c>
    </row>
    <row r="1152" spans="1:15" x14ac:dyDescent="0.3">
      <c r="A1152" t="s">
        <v>2277</v>
      </c>
      <c r="B1152" t="s">
        <v>1991</v>
      </c>
      <c r="C1152" t="s">
        <v>1997</v>
      </c>
      <c r="D1152">
        <v>1</v>
      </c>
      <c r="E1152" t="s">
        <v>1447</v>
      </c>
      <c r="F1152" t="s">
        <v>1998</v>
      </c>
      <c r="G1152" t="s">
        <v>1748</v>
      </c>
      <c r="H1152" t="s">
        <v>2279</v>
      </c>
      <c r="I1152">
        <v>0</v>
      </c>
      <c r="J1152" t="s">
        <v>2279</v>
      </c>
      <c r="K1152" t="s">
        <v>2279</v>
      </c>
      <c r="L1152" t="s">
        <v>2279</v>
      </c>
      <c r="M1152" t="s">
        <v>2279</v>
      </c>
      <c r="N1152" t="s">
        <v>2279</v>
      </c>
      <c r="O1152" s="190" t="str">
        <f>"["&amp;$C1152&amp;"]["&amp;$D1152&amp;"]["&amp;$F1152&amp;"]"</f>
        <v>[S06_InstallationsVerificationReportChecksDetail2][1][NumberOfReports]</v>
      </c>
    </row>
    <row r="1153" spans="1:15" x14ac:dyDescent="0.3">
      <c r="A1153" t="s">
        <v>2277</v>
      </c>
      <c r="B1153" t="s">
        <v>1991</v>
      </c>
      <c r="C1153" t="s">
        <v>1997</v>
      </c>
      <c r="D1153">
        <v>2</v>
      </c>
      <c r="E1153" t="s">
        <v>1447</v>
      </c>
      <c r="F1153" t="s">
        <v>1998</v>
      </c>
      <c r="G1153" t="s">
        <v>1748</v>
      </c>
      <c r="H1153" t="s">
        <v>2279</v>
      </c>
      <c r="I1153">
        <v>0</v>
      </c>
      <c r="J1153" t="s">
        <v>2279</v>
      </c>
      <c r="K1153" t="s">
        <v>2279</v>
      </c>
      <c r="L1153" t="s">
        <v>2279</v>
      </c>
      <c r="M1153" t="s">
        <v>2279</v>
      </c>
      <c r="N1153" t="s">
        <v>2279</v>
      </c>
      <c r="O1153" s="190" t="str">
        <f>"["&amp;$C1153&amp;"]["&amp;$D1153&amp;"]["&amp;$F1153&amp;"]"</f>
        <v>[S06_InstallationsVerificationReportChecksDetail2][2][NumberOfReports]</v>
      </c>
    </row>
    <row r="1154" spans="1:15" x14ac:dyDescent="0.3">
      <c r="A1154" t="s">
        <v>2277</v>
      </c>
      <c r="B1154" t="s">
        <v>1991</v>
      </c>
      <c r="C1154" t="s">
        <v>1999</v>
      </c>
      <c r="D1154">
        <v>1</v>
      </c>
      <c r="E1154" t="s">
        <v>1447</v>
      </c>
      <c r="F1154" t="s">
        <v>2000</v>
      </c>
      <c r="G1154" t="s">
        <v>1741</v>
      </c>
      <c r="H1154" t="s">
        <v>2219</v>
      </c>
      <c r="I1154" t="s">
        <v>2279</v>
      </c>
      <c r="J1154" t="s">
        <v>2279</v>
      </c>
      <c r="K1154" t="s">
        <v>2279</v>
      </c>
      <c r="L1154" t="s">
        <v>2279</v>
      </c>
      <c r="M1154" t="s">
        <v>2279</v>
      </c>
      <c r="N1154" t="s">
        <v>2279</v>
      </c>
      <c r="O1154" s="190" t="str">
        <f>"["&amp;$C1154&amp;"]["&amp;$D1154&amp;"]["&amp;$F1154&amp;"]"</f>
        <v>[S06_InstallationsVerificationReportChecksDetail3][1][ActionsTaken]</v>
      </c>
    </row>
    <row r="1155" spans="1:15" x14ac:dyDescent="0.3">
      <c r="A1155" t="s">
        <v>2277</v>
      </c>
      <c r="B1155" t="s">
        <v>1991</v>
      </c>
      <c r="C1155" t="s">
        <v>1999</v>
      </c>
      <c r="D1155">
        <v>2</v>
      </c>
      <c r="E1155" t="s">
        <v>1419</v>
      </c>
      <c r="F1155" t="s">
        <v>2000</v>
      </c>
      <c r="G1155" t="s">
        <v>1791</v>
      </c>
      <c r="H1155" t="s">
        <v>2279</v>
      </c>
      <c r="I1155" t="s">
        <v>2279</v>
      </c>
      <c r="J1155" t="s">
        <v>2279</v>
      </c>
      <c r="K1155" t="s">
        <v>2219</v>
      </c>
      <c r="L1155" t="s">
        <v>2279</v>
      </c>
      <c r="M1155" t="s">
        <v>2279</v>
      </c>
      <c r="N1155" t="s">
        <v>2279</v>
      </c>
      <c r="O1155" s="190" t="str">
        <f>"["&amp;$C1155&amp;"]["&amp;$D1155&amp;"]["&amp;$F1155&amp;"]"</f>
        <v>[S06_InstallationsVerificationReportChecksDetail3][2][ActionsTaken]</v>
      </c>
    </row>
    <row r="1156" spans="1:15" x14ac:dyDescent="0.3">
      <c r="A1156" t="s">
        <v>2277</v>
      </c>
      <c r="B1156" t="s">
        <v>2001</v>
      </c>
      <c r="C1156" t="s">
        <v>2002</v>
      </c>
      <c r="D1156">
        <v>0</v>
      </c>
      <c r="E1156" t="s">
        <v>1447</v>
      </c>
      <c r="F1156" t="s">
        <v>2002</v>
      </c>
      <c r="G1156" t="s">
        <v>1759</v>
      </c>
      <c r="H1156" t="s">
        <v>2279</v>
      </c>
      <c r="I1156" t="s">
        <v>2279</v>
      </c>
      <c r="J1156" t="s">
        <v>2279</v>
      </c>
      <c r="K1156" t="s">
        <v>2279</v>
      </c>
      <c r="L1156" t="s">
        <v>1447</v>
      </c>
      <c r="M1156" t="s">
        <v>2279</v>
      </c>
      <c r="N1156" t="s">
        <v>2279</v>
      </c>
      <c r="O1156" s="190" t="str">
        <f>"["&amp;$C1156&amp;"]["&amp;$D1156&amp;"]["&amp;$F1156&amp;"]"</f>
        <v>[InstallationVisitsWaivedHighEmitters][0][InstallationVisitsWaivedHighEmitters]</v>
      </c>
    </row>
    <row r="1157" spans="1:15" x14ac:dyDescent="0.3">
      <c r="A1157" t="s">
        <v>2277</v>
      </c>
      <c r="B1157" t="s">
        <v>2001</v>
      </c>
      <c r="C1157" t="s">
        <v>2005</v>
      </c>
      <c r="D1157">
        <v>0</v>
      </c>
      <c r="E1157" t="s">
        <v>1447</v>
      </c>
      <c r="F1157" t="s">
        <v>2005</v>
      </c>
      <c r="G1157" t="s">
        <v>1759</v>
      </c>
      <c r="H1157" t="s">
        <v>2279</v>
      </c>
      <c r="I1157" t="s">
        <v>2279</v>
      </c>
      <c r="J1157" t="s">
        <v>2279</v>
      </c>
      <c r="K1157" t="s">
        <v>2279</v>
      </c>
      <c r="L1157" t="s">
        <v>1447</v>
      </c>
      <c r="M1157" t="s">
        <v>2279</v>
      </c>
      <c r="N1157" t="s">
        <v>2279</v>
      </c>
      <c r="O1157" s="190" t="str">
        <f>"["&amp;$C1157&amp;"]["&amp;$D1157&amp;"]["&amp;$F1157&amp;"]"</f>
        <v>[InstallationsVisitsWaivedLowEmitters][0][InstallationsVisitsWaivedLowEmitters]</v>
      </c>
    </row>
    <row r="1158" spans="1:15" x14ac:dyDescent="0.3">
      <c r="A1158" t="s">
        <v>2277</v>
      </c>
      <c r="B1158" t="s">
        <v>2007</v>
      </c>
      <c r="C1158" t="s">
        <v>2008</v>
      </c>
      <c r="D1158">
        <v>0</v>
      </c>
      <c r="E1158" t="s">
        <v>1447</v>
      </c>
      <c r="F1158" t="s">
        <v>2008</v>
      </c>
      <c r="G1158" t="s">
        <v>1759</v>
      </c>
      <c r="H1158" t="s">
        <v>2279</v>
      </c>
      <c r="I1158" t="s">
        <v>2279</v>
      </c>
      <c r="J1158" t="s">
        <v>2279</v>
      </c>
      <c r="K1158" t="s">
        <v>2279</v>
      </c>
      <c r="L1158" t="s">
        <v>1419</v>
      </c>
      <c r="M1158" t="s">
        <v>2279</v>
      </c>
      <c r="N1158" t="s">
        <v>2279</v>
      </c>
      <c r="O1158" s="190" t="str">
        <f>"["&amp;$C1158&amp;"]["&amp;$D1158&amp;"]["&amp;$F1158&amp;"]"</f>
        <v>[VirtualVisitsInstallations][0][VirtualVisitsInstallations]</v>
      </c>
    </row>
    <row r="1159" spans="1:15" x14ac:dyDescent="0.3">
      <c r="A1159" t="s">
        <v>2277</v>
      </c>
      <c r="B1159" t="s">
        <v>2007</v>
      </c>
      <c r="C1159" t="s">
        <v>2009</v>
      </c>
      <c r="D1159">
        <v>1</v>
      </c>
      <c r="E1159" t="s">
        <v>1447</v>
      </c>
      <c r="F1159" t="s">
        <v>2010</v>
      </c>
      <c r="G1159" t="s">
        <v>1741</v>
      </c>
      <c r="H1159" t="s">
        <v>2395</v>
      </c>
      <c r="I1159" t="s">
        <v>2279</v>
      </c>
      <c r="J1159" t="s">
        <v>2279</v>
      </c>
      <c r="K1159" t="s">
        <v>2279</v>
      </c>
      <c r="L1159" t="s">
        <v>2279</v>
      </c>
      <c r="M1159" t="s">
        <v>2279</v>
      </c>
      <c r="N1159" t="s">
        <v>2279</v>
      </c>
      <c r="O1159" s="190" t="str">
        <f>"["&amp;$C1159&amp;"]["&amp;$D1159&amp;"]["&amp;$F1159&amp;"]"</f>
        <v>[S06_VirtualVisitsInstallationsDetails][1][TypeForceMajeur]</v>
      </c>
    </row>
    <row r="1160" spans="1:15" x14ac:dyDescent="0.3">
      <c r="A1160" t="s">
        <v>2277</v>
      </c>
      <c r="B1160" t="s">
        <v>2007</v>
      </c>
      <c r="C1160" t="s">
        <v>2009</v>
      </c>
      <c r="D1160">
        <v>1</v>
      </c>
      <c r="E1160" t="s">
        <v>1447</v>
      </c>
      <c r="F1160" t="s">
        <v>2011</v>
      </c>
      <c r="G1160" t="s">
        <v>1748</v>
      </c>
      <c r="H1160" t="s">
        <v>2279</v>
      </c>
      <c r="I1160">
        <v>19</v>
      </c>
      <c r="J1160" t="s">
        <v>2279</v>
      </c>
      <c r="K1160" t="s">
        <v>2279</v>
      </c>
      <c r="L1160" t="s">
        <v>2279</v>
      </c>
      <c r="M1160" t="s">
        <v>2279</v>
      </c>
      <c r="N1160" t="s">
        <v>2279</v>
      </c>
      <c r="O1160" s="190" t="str">
        <f>"["&amp;$C1160&amp;"]["&amp;$D1160&amp;"]["&amp;$F1160&amp;"]"</f>
        <v>[S06_VirtualVisitsInstallationsDetails][1][NumberOfInstallationsVV]</v>
      </c>
    </row>
    <row r="1161" spans="1:15" x14ac:dyDescent="0.3">
      <c r="A1161" t="s">
        <v>2277</v>
      </c>
      <c r="B1161" t="s">
        <v>2007</v>
      </c>
      <c r="C1161" t="s">
        <v>2009</v>
      </c>
      <c r="D1161">
        <v>1</v>
      </c>
      <c r="E1161" t="s">
        <v>1447</v>
      </c>
      <c r="F1161" t="s">
        <v>2012</v>
      </c>
      <c r="G1161" t="s">
        <v>1737</v>
      </c>
      <c r="H1161" t="s">
        <v>2279</v>
      </c>
      <c r="I1161" t="s">
        <v>2279</v>
      </c>
      <c r="J1161" t="s">
        <v>2279</v>
      </c>
      <c r="K1161" t="s">
        <v>2279</v>
      </c>
      <c r="L1161" t="s">
        <v>1442</v>
      </c>
      <c r="M1161" t="s">
        <v>2279</v>
      </c>
      <c r="N1161" t="s">
        <v>2279</v>
      </c>
      <c r="O1161" s="190" t="str">
        <f>"["&amp;$C1161&amp;"]["&amp;$D1161&amp;"]["&amp;$F1161&amp;"]"</f>
        <v>[S06_VirtualVisitsInstallationsDetails][1][AuthorityApproval]</v>
      </c>
    </row>
    <row r="1162" spans="1:15" x14ac:dyDescent="0.3">
      <c r="A1162" t="s">
        <v>2277</v>
      </c>
      <c r="B1162" t="s">
        <v>2007</v>
      </c>
      <c r="C1162" t="s">
        <v>2009</v>
      </c>
      <c r="D1162">
        <v>1</v>
      </c>
      <c r="E1162" t="s">
        <v>1447</v>
      </c>
      <c r="F1162" t="s">
        <v>2013</v>
      </c>
      <c r="G1162" t="s">
        <v>1741</v>
      </c>
      <c r="H1162" t="s">
        <v>1419</v>
      </c>
      <c r="I1162" t="s">
        <v>2279</v>
      </c>
      <c r="J1162" t="s">
        <v>2279</v>
      </c>
      <c r="K1162" t="s">
        <v>2279</v>
      </c>
      <c r="L1162" t="s">
        <v>2279</v>
      </c>
      <c r="M1162" t="s">
        <v>2279</v>
      </c>
      <c r="N1162" t="s">
        <v>2279</v>
      </c>
      <c r="O1162" s="190" t="str">
        <f>"["&amp;$C1162&amp;"]["&amp;$D1162&amp;"]["&amp;$F1162&amp;"]"</f>
        <v>[S06_VirtualVisitsInstallationsDetails][1][ConfirmationConditionsMet]</v>
      </c>
    </row>
    <row r="1163" spans="1:15" x14ac:dyDescent="0.3">
      <c r="A1163" t="s">
        <v>2277</v>
      </c>
      <c r="B1163" t="s">
        <v>2014</v>
      </c>
      <c r="C1163" t="s">
        <v>2020</v>
      </c>
      <c r="D1163">
        <v>1</v>
      </c>
      <c r="E1163" t="s">
        <v>1447</v>
      </c>
      <c r="F1163" t="s">
        <v>1984</v>
      </c>
      <c r="G1163" t="s">
        <v>1748</v>
      </c>
      <c r="H1163" t="s">
        <v>2279</v>
      </c>
      <c r="I1163">
        <v>0</v>
      </c>
      <c r="J1163" t="s">
        <v>2279</v>
      </c>
      <c r="K1163" t="s">
        <v>2279</v>
      </c>
      <c r="L1163" t="s">
        <v>2279</v>
      </c>
      <c r="M1163" t="s">
        <v>2279</v>
      </c>
      <c r="N1163" t="s">
        <v>2279</v>
      </c>
      <c r="O1163" s="190" t="str">
        <f>"["&amp;$C1163&amp;"]["&amp;$D1163&amp;"]["&amp;$F1163&amp;"]"</f>
        <v>[S06_NegativeOpinionAircraft][1][CountNegativeOpinions]</v>
      </c>
    </row>
    <row r="1164" spans="1:15" x14ac:dyDescent="0.3">
      <c r="A1164" t="s">
        <v>2277</v>
      </c>
      <c r="B1164" t="s">
        <v>2014</v>
      </c>
      <c r="C1164" t="s">
        <v>2020</v>
      </c>
      <c r="D1164">
        <v>2</v>
      </c>
      <c r="E1164" t="s">
        <v>1447</v>
      </c>
      <c r="F1164" t="s">
        <v>1984</v>
      </c>
      <c r="G1164" t="s">
        <v>1748</v>
      </c>
      <c r="H1164" t="s">
        <v>2279</v>
      </c>
      <c r="I1164">
        <v>0</v>
      </c>
      <c r="J1164" t="s">
        <v>2279</v>
      </c>
      <c r="K1164" t="s">
        <v>2279</v>
      </c>
      <c r="L1164" t="s">
        <v>2279</v>
      </c>
      <c r="M1164" t="s">
        <v>2279</v>
      </c>
      <c r="N1164" t="s">
        <v>2279</v>
      </c>
      <c r="O1164" s="190" t="str">
        <f>"["&amp;$C1164&amp;"]["&amp;$D1164&amp;"]["&amp;$F1164&amp;"]"</f>
        <v>[S06_NegativeOpinionAircraft][2][CountNegativeOpinions]</v>
      </c>
    </row>
    <row r="1165" spans="1:15" x14ac:dyDescent="0.3">
      <c r="A1165" t="s">
        <v>2277</v>
      </c>
      <c r="B1165" t="s">
        <v>2014</v>
      </c>
      <c r="C1165" t="s">
        <v>2020</v>
      </c>
      <c r="D1165">
        <v>3</v>
      </c>
      <c r="E1165" t="s">
        <v>1447</v>
      </c>
      <c r="F1165" t="s">
        <v>1984</v>
      </c>
      <c r="G1165" t="s">
        <v>1748</v>
      </c>
      <c r="H1165" t="s">
        <v>2279</v>
      </c>
      <c r="I1165">
        <v>0</v>
      </c>
      <c r="J1165" t="s">
        <v>2279</v>
      </c>
      <c r="K1165" t="s">
        <v>2279</v>
      </c>
      <c r="L1165" t="s">
        <v>2279</v>
      </c>
      <c r="M1165" t="s">
        <v>2279</v>
      </c>
      <c r="N1165" t="s">
        <v>2279</v>
      </c>
      <c r="O1165" s="190" t="str">
        <f>"["&amp;$C1165&amp;"]["&amp;$D1165&amp;"]["&amp;$F1165&amp;"]"</f>
        <v>[S06_NegativeOpinionAircraft][3][CountNegativeOpinions]</v>
      </c>
    </row>
    <row r="1166" spans="1:15" x14ac:dyDescent="0.3">
      <c r="A1166" t="s">
        <v>2277</v>
      </c>
      <c r="B1166" t="s">
        <v>2014</v>
      </c>
      <c r="C1166" t="s">
        <v>2020</v>
      </c>
      <c r="D1166">
        <v>4</v>
      </c>
      <c r="E1166" t="s">
        <v>1447</v>
      </c>
      <c r="F1166" t="s">
        <v>1984</v>
      </c>
      <c r="G1166" t="s">
        <v>1748</v>
      </c>
      <c r="H1166" t="s">
        <v>2279</v>
      </c>
      <c r="I1166">
        <v>0</v>
      </c>
      <c r="J1166" t="s">
        <v>2279</v>
      </c>
      <c r="K1166" t="s">
        <v>2279</v>
      </c>
      <c r="L1166" t="s">
        <v>2279</v>
      </c>
      <c r="M1166" t="s">
        <v>2279</v>
      </c>
      <c r="N1166" t="s">
        <v>2279</v>
      </c>
      <c r="O1166" s="190" t="str">
        <f>"["&amp;$C1166&amp;"]["&amp;$D1166&amp;"]["&amp;$F1166&amp;"]"</f>
        <v>[S06_NegativeOpinionAircraft][4][CountNegativeOpinions]</v>
      </c>
    </row>
    <row r="1167" spans="1:15" x14ac:dyDescent="0.3">
      <c r="A1167" t="s">
        <v>2277</v>
      </c>
      <c r="B1167" t="s">
        <v>2021</v>
      </c>
      <c r="C1167" t="s">
        <v>2022</v>
      </c>
      <c r="D1167">
        <v>0</v>
      </c>
      <c r="E1167" t="s">
        <v>1447</v>
      </c>
      <c r="F1167" t="s">
        <v>2022</v>
      </c>
      <c r="G1167" t="s">
        <v>1759</v>
      </c>
      <c r="H1167" t="s">
        <v>2279</v>
      </c>
      <c r="I1167" t="s">
        <v>2279</v>
      </c>
      <c r="J1167" t="s">
        <v>2279</v>
      </c>
      <c r="K1167" t="s">
        <v>2279</v>
      </c>
      <c r="L1167" t="s">
        <v>1447</v>
      </c>
      <c r="M1167" t="s">
        <v>2279</v>
      </c>
      <c r="N1167" t="s">
        <v>2279</v>
      </c>
      <c r="O1167" s="190" t="str">
        <f>"["&amp;$C1167&amp;"]["&amp;$D1167&amp;"]["&amp;$F1167&amp;"]"</f>
        <v>[AircraftOperatorsVerificationReportIssues][0][AircraftOperatorsVerificationReportIssues]</v>
      </c>
    </row>
    <row r="1168" spans="1:15" x14ac:dyDescent="0.3">
      <c r="A1168" t="s">
        <v>2277</v>
      </c>
      <c r="B1168" t="s">
        <v>2026</v>
      </c>
      <c r="C1168" t="s">
        <v>2027</v>
      </c>
      <c r="D1168">
        <v>0</v>
      </c>
      <c r="E1168" t="s">
        <v>1447</v>
      </c>
      <c r="F1168" t="s">
        <v>2027</v>
      </c>
      <c r="G1168" t="s">
        <v>1759</v>
      </c>
      <c r="H1168" t="s">
        <v>2279</v>
      </c>
      <c r="I1168" t="s">
        <v>2279</v>
      </c>
      <c r="J1168" t="s">
        <v>2279</v>
      </c>
      <c r="K1168" t="s">
        <v>2279</v>
      </c>
      <c r="L1168" t="s">
        <v>1419</v>
      </c>
      <c r="M1168" t="s">
        <v>2279</v>
      </c>
      <c r="N1168" t="s">
        <v>2279</v>
      </c>
      <c r="O1168" s="190" t="str">
        <f>"["&amp;$C1168&amp;"]["&amp;$D1168&amp;"]["&amp;$F1168&amp;"]"</f>
        <v>[AircraftOperatorsVerificationReportChecks][0][AircraftOperatorsVerificationReportChecks]</v>
      </c>
    </row>
    <row r="1169" spans="1:15" x14ac:dyDescent="0.3">
      <c r="A1169" t="s">
        <v>2277</v>
      </c>
      <c r="B1169" t="s">
        <v>2026</v>
      </c>
      <c r="C1169" t="s">
        <v>2028</v>
      </c>
      <c r="D1169">
        <v>1</v>
      </c>
      <c r="E1169" t="s">
        <v>1447</v>
      </c>
      <c r="F1169" t="s">
        <v>1994</v>
      </c>
      <c r="G1169" t="s">
        <v>1806</v>
      </c>
      <c r="H1169" t="s">
        <v>2279</v>
      </c>
      <c r="I1169" t="s">
        <v>2279</v>
      </c>
      <c r="J1169">
        <v>1</v>
      </c>
      <c r="K1169" t="s">
        <v>2279</v>
      </c>
      <c r="L1169" t="s">
        <v>2279</v>
      </c>
      <c r="M1169" t="s">
        <v>2279</v>
      </c>
      <c r="N1169" t="s">
        <v>2279</v>
      </c>
      <c r="O1169" s="190" t="str">
        <f>"["&amp;$C1169&amp;"]["&amp;$D1169&amp;"]["&amp;$F1169&amp;"]"</f>
        <v>[S06_AircraftOperatorsVerificationEmissionReportChecks1][1][PercentageShare]</v>
      </c>
    </row>
    <row r="1170" spans="1:15" x14ac:dyDescent="0.3">
      <c r="A1170" t="s">
        <v>2277</v>
      </c>
      <c r="B1170" t="s">
        <v>2026</v>
      </c>
      <c r="C1170" t="s">
        <v>2028</v>
      </c>
      <c r="D1170">
        <v>2</v>
      </c>
      <c r="E1170" t="s">
        <v>1447</v>
      </c>
      <c r="F1170" t="s">
        <v>1994</v>
      </c>
      <c r="G1170" t="s">
        <v>1806</v>
      </c>
      <c r="H1170" t="s">
        <v>2279</v>
      </c>
      <c r="I1170" t="s">
        <v>2279</v>
      </c>
      <c r="J1170">
        <v>0.5</v>
      </c>
      <c r="K1170" t="s">
        <v>2279</v>
      </c>
      <c r="L1170" t="s">
        <v>2279</v>
      </c>
      <c r="M1170" t="s">
        <v>2279</v>
      </c>
      <c r="N1170" t="s">
        <v>2279</v>
      </c>
      <c r="O1170" s="190" t="str">
        <f>"["&amp;$C1170&amp;"]["&amp;$D1170&amp;"]["&amp;$F1170&amp;"]"</f>
        <v>[S06_AircraftOperatorsVerificationEmissionReportChecks1][2][PercentageShare]</v>
      </c>
    </row>
    <row r="1171" spans="1:15" x14ac:dyDescent="0.3">
      <c r="A1171" t="s">
        <v>2277</v>
      </c>
      <c r="B1171" t="s">
        <v>2026</v>
      </c>
      <c r="C1171" t="s">
        <v>2028</v>
      </c>
      <c r="D1171">
        <v>3</v>
      </c>
      <c r="E1171" t="s">
        <v>1447</v>
      </c>
      <c r="F1171" t="s">
        <v>1994</v>
      </c>
      <c r="G1171" t="s">
        <v>1806</v>
      </c>
      <c r="H1171" t="s">
        <v>2279</v>
      </c>
      <c r="I1171" t="s">
        <v>2279</v>
      </c>
      <c r="J1171">
        <v>0</v>
      </c>
      <c r="K1171" t="s">
        <v>2279</v>
      </c>
      <c r="L1171" t="s">
        <v>2279</v>
      </c>
      <c r="M1171" t="s">
        <v>2279</v>
      </c>
      <c r="N1171" t="s">
        <v>2279</v>
      </c>
      <c r="O1171" s="190" t="str">
        <f>"["&amp;$C1171&amp;"]["&amp;$D1171&amp;"]["&amp;$F1171&amp;"]"</f>
        <v>[S06_AircraftOperatorsVerificationEmissionReportChecks1][3][PercentageShare]</v>
      </c>
    </row>
    <row r="1172" spans="1:15" x14ac:dyDescent="0.3">
      <c r="A1172" t="s">
        <v>2277</v>
      </c>
      <c r="B1172" t="s">
        <v>2026</v>
      </c>
      <c r="C1172" t="s">
        <v>2028</v>
      </c>
      <c r="D1172">
        <v>4</v>
      </c>
      <c r="E1172" t="s">
        <v>1447</v>
      </c>
      <c r="F1172" t="s">
        <v>1994</v>
      </c>
      <c r="G1172" t="s">
        <v>1806</v>
      </c>
      <c r="H1172" t="s">
        <v>2279</v>
      </c>
      <c r="I1172" t="s">
        <v>2279</v>
      </c>
      <c r="J1172">
        <v>0</v>
      </c>
      <c r="K1172" t="s">
        <v>2279</v>
      </c>
      <c r="L1172" t="s">
        <v>2279</v>
      </c>
      <c r="M1172" t="s">
        <v>2279</v>
      </c>
      <c r="N1172" t="s">
        <v>2279</v>
      </c>
      <c r="O1172" s="190" t="str">
        <f>"["&amp;$C1172&amp;"]["&amp;$D1172&amp;"]["&amp;$F1172&amp;"]"</f>
        <v>[S06_AircraftOperatorsVerificationEmissionReportChecks1][4][PercentageShare]</v>
      </c>
    </row>
    <row r="1173" spans="1:15" x14ac:dyDescent="0.3">
      <c r="A1173" t="s">
        <v>2277</v>
      </c>
      <c r="B1173" t="s">
        <v>2026</v>
      </c>
      <c r="C1173" t="s">
        <v>2029</v>
      </c>
      <c r="D1173">
        <v>1</v>
      </c>
      <c r="E1173" t="s">
        <v>1447</v>
      </c>
      <c r="F1173" t="s">
        <v>1998</v>
      </c>
      <c r="G1173" t="s">
        <v>1748</v>
      </c>
      <c r="H1173" t="s">
        <v>2279</v>
      </c>
      <c r="I1173">
        <v>0</v>
      </c>
      <c r="J1173" t="s">
        <v>2279</v>
      </c>
      <c r="K1173" t="s">
        <v>2279</v>
      </c>
      <c r="L1173" t="s">
        <v>2279</v>
      </c>
      <c r="M1173" t="s">
        <v>2279</v>
      </c>
      <c r="N1173" t="s">
        <v>2279</v>
      </c>
      <c r="O1173" s="190" t="str">
        <f>"["&amp;$C1173&amp;"]["&amp;$D1173&amp;"]["&amp;$F1173&amp;"]"</f>
        <v>[S06_AircraftOperatorsVerificationEmissionReportChecks2][1][NumberOfReports]</v>
      </c>
    </row>
    <row r="1174" spans="1:15" x14ac:dyDescent="0.3">
      <c r="A1174" t="s">
        <v>2277</v>
      </c>
      <c r="B1174" t="s">
        <v>2026</v>
      </c>
      <c r="C1174" t="s">
        <v>2029</v>
      </c>
      <c r="D1174">
        <v>2</v>
      </c>
      <c r="E1174" t="s">
        <v>1447</v>
      </c>
      <c r="F1174" t="s">
        <v>1998</v>
      </c>
      <c r="G1174" t="s">
        <v>1748</v>
      </c>
      <c r="H1174" t="s">
        <v>2279</v>
      </c>
      <c r="I1174">
        <v>0</v>
      </c>
      <c r="J1174" t="s">
        <v>2279</v>
      </c>
      <c r="K1174" t="s">
        <v>2279</v>
      </c>
      <c r="L1174" t="s">
        <v>2279</v>
      </c>
      <c r="M1174" t="s">
        <v>2279</v>
      </c>
      <c r="N1174" t="s">
        <v>2279</v>
      </c>
      <c r="O1174" s="190" t="str">
        <f>"["&amp;$C1174&amp;"]["&amp;$D1174&amp;"]["&amp;$F1174&amp;"]"</f>
        <v>[S06_AircraftOperatorsVerificationEmissionReportChecks2][2][NumberOfReports]</v>
      </c>
    </row>
    <row r="1175" spans="1:15" x14ac:dyDescent="0.3">
      <c r="A1175" t="s">
        <v>2277</v>
      </c>
      <c r="B1175" t="s">
        <v>2026</v>
      </c>
      <c r="C1175" t="s">
        <v>2030</v>
      </c>
      <c r="D1175">
        <v>1</v>
      </c>
      <c r="E1175" t="s">
        <v>1447</v>
      </c>
      <c r="F1175" t="s">
        <v>2000</v>
      </c>
      <c r="G1175" t="s">
        <v>1741</v>
      </c>
      <c r="H1175" t="s">
        <v>2396</v>
      </c>
      <c r="I1175" t="s">
        <v>2279</v>
      </c>
      <c r="J1175" t="s">
        <v>2279</v>
      </c>
      <c r="K1175" t="s">
        <v>2279</v>
      </c>
      <c r="L1175" t="s">
        <v>2279</v>
      </c>
      <c r="M1175" t="s">
        <v>2279</v>
      </c>
      <c r="N1175" t="s">
        <v>2279</v>
      </c>
      <c r="O1175" s="190" t="str">
        <f>"["&amp;$C1175&amp;"]["&amp;$D1175&amp;"]["&amp;$F1175&amp;"]"</f>
        <v>[S06_AircraftOperatorsVerificationEmissionReportChecks3][1][ActionsTaken]</v>
      </c>
    </row>
    <row r="1176" spans="1:15" x14ac:dyDescent="0.3">
      <c r="A1176" t="s">
        <v>2277</v>
      </c>
      <c r="B1176" t="s">
        <v>2026</v>
      </c>
      <c r="C1176" t="s">
        <v>2030</v>
      </c>
      <c r="D1176">
        <v>2</v>
      </c>
      <c r="E1176" t="s">
        <v>1419</v>
      </c>
      <c r="F1176" t="s">
        <v>2000</v>
      </c>
      <c r="G1176" t="s">
        <v>1791</v>
      </c>
      <c r="H1176" t="s">
        <v>2279</v>
      </c>
      <c r="I1176" t="s">
        <v>2279</v>
      </c>
      <c r="J1176" t="s">
        <v>2279</v>
      </c>
      <c r="K1176" t="s">
        <v>2396</v>
      </c>
      <c r="L1176" t="s">
        <v>2279</v>
      </c>
      <c r="M1176" t="s">
        <v>2279</v>
      </c>
      <c r="N1176" t="s">
        <v>2279</v>
      </c>
      <c r="O1176" s="190" t="str">
        <f>"["&amp;$C1176&amp;"]["&amp;$D1176&amp;"]["&amp;$F1176&amp;"]"</f>
        <v>[S06_AircraftOperatorsVerificationEmissionReportChecks3][2][ActionsTaken]</v>
      </c>
    </row>
    <row r="1177" spans="1:15" x14ac:dyDescent="0.3">
      <c r="A1177" t="s">
        <v>2277</v>
      </c>
      <c r="B1177" t="s">
        <v>2026</v>
      </c>
      <c r="C1177" t="s">
        <v>2031</v>
      </c>
      <c r="D1177">
        <v>1</v>
      </c>
      <c r="E1177" t="s">
        <v>1447</v>
      </c>
      <c r="F1177" t="s">
        <v>1994</v>
      </c>
      <c r="G1177" t="s">
        <v>1806</v>
      </c>
      <c r="H1177" t="s">
        <v>2279</v>
      </c>
      <c r="I1177" t="s">
        <v>2279</v>
      </c>
      <c r="J1177">
        <v>0</v>
      </c>
      <c r="K1177" t="s">
        <v>2279</v>
      </c>
      <c r="L1177" t="s">
        <v>2279</v>
      </c>
      <c r="M1177" t="s">
        <v>2279</v>
      </c>
      <c r="N1177" t="s">
        <v>2279</v>
      </c>
      <c r="O1177" s="190" t="str">
        <f>"["&amp;$C1177&amp;"]["&amp;$D1177&amp;"]["&amp;$F1177&amp;"]"</f>
        <v>[S06_AircraftOperatorsVerificationTKMReportChecks1][1][PercentageShare]</v>
      </c>
    </row>
    <row r="1178" spans="1:15" x14ac:dyDescent="0.3">
      <c r="A1178" t="s">
        <v>2277</v>
      </c>
      <c r="B1178" t="s">
        <v>2026</v>
      </c>
      <c r="C1178" t="s">
        <v>2031</v>
      </c>
      <c r="D1178">
        <v>2</v>
      </c>
      <c r="E1178" t="s">
        <v>1447</v>
      </c>
      <c r="F1178" t="s">
        <v>1994</v>
      </c>
      <c r="G1178" t="s">
        <v>1806</v>
      </c>
      <c r="H1178" t="s">
        <v>2279</v>
      </c>
      <c r="I1178" t="s">
        <v>2279</v>
      </c>
      <c r="J1178">
        <v>0</v>
      </c>
      <c r="K1178" t="s">
        <v>2279</v>
      </c>
      <c r="L1178" t="s">
        <v>2279</v>
      </c>
      <c r="M1178" t="s">
        <v>2279</v>
      </c>
      <c r="N1178" t="s">
        <v>2279</v>
      </c>
      <c r="O1178" s="190" t="str">
        <f>"["&amp;$C1178&amp;"]["&amp;$D1178&amp;"]["&amp;$F1178&amp;"]"</f>
        <v>[S06_AircraftOperatorsVerificationTKMReportChecks1][2][PercentageShare]</v>
      </c>
    </row>
    <row r="1179" spans="1:15" x14ac:dyDescent="0.3">
      <c r="A1179" t="s">
        <v>2277</v>
      </c>
      <c r="B1179" t="s">
        <v>2026</v>
      </c>
      <c r="C1179" t="s">
        <v>2031</v>
      </c>
      <c r="D1179">
        <v>3</v>
      </c>
      <c r="E1179" t="s">
        <v>1447</v>
      </c>
      <c r="F1179" t="s">
        <v>1994</v>
      </c>
      <c r="G1179" t="s">
        <v>1806</v>
      </c>
      <c r="H1179" t="s">
        <v>2279</v>
      </c>
      <c r="I1179" t="s">
        <v>2279</v>
      </c>
      <c r="J1179">
        <v>0</v>
      </c>
      <c r="K1179" t="s">
        <v>2279</v>
      </c>
      <c r="L1179" t="s">
        <v>2279</v>
      </c>
      <c r="M1179" t="s">
        <v>2279</v>
      </c>
      <c r="N1179" t="s">
        <v>2279</v>
      </c>
      <c r="O1179" s="190" t="str">
        <f>"["&amp;$C1179&amp;"]["&amp;$D1179&amp;"]["&amp;$F1179&amp;"]"</f>
        <v>[S06_AircraftOperatorsVerificationTKMReportChecks1][3][PercentageShare]</v>
      </c>
    </row>
    <row r="1180" spans="1:15" x14ac:dyDescent="0.3">
      <c r="A1180" t="s">
        <v>2277</v>
      </c>
      <c r="B1180" t="s">
        <v>2026</v>
      </c>
      <c r="C1180" t="s">
        <v>2031</v>
      </c>
      <c r="D1180">
        <v>4</v>
      </c>
      <c r="E1180" t="s">
        <v>1447</v>
      </c>
      <c r="F1180" t="s">
        <v>1994</v>
      </c>
      <c r="G1180" t="s">
        <v>1806</v>
      </c>
      <c r="H1180" t="s">
        <v>2279</v>
      </c>
      <c r="I1180" t="s">
        <v>2279</v>
      </c>
      <c r="J1180">
        <v>0</v>
      </c>
      <c r="K1180" t="s">
        <v>2279</v>
      </c>
      <c r="L1180" t="s">
        <v>2279</v>
      </c>
      <c r="M1180" t="s">
        <v>2279</v>
      </c>
      <c r="N1180" t="s">
        <v>2279</v>
      </c>
      <c r="O1180" s="190" t="str">
        <f>"["&amp;$C1180&amp;"]["&amp;$D1180&amp;"]["&amp;$F1180&amp;"]"</f>
        <v>[S06_AircraftOperatorsVerificationTKMReportChecks1][4][PercentageShare]</v>
      </c>
    </row>
    <row r="1181" spans="1:15" x14ac:dyDescent="0.3">
      <c r="A1181" t="s">
        <v>2277</v>
      </c>
      <c r="B1181" t="s">
        <v>2026</v>
      </c>
      <c r="C1181" t="s">
        <v>2032</v>
      </c>
      <c r="D1181">
        <v>1</v>
      </c>
      <c r="E1181" t="s">
        <v>1447</v>
      </c>
      <c r="F1181" t="s">
        <v>1998</v>
      </c>
      <c r="G1181" t="s">
        <v>1748</v>
      </c>
      <c r="H1181" t="s">
        <v>2279</v>
      </c>
      <c r="I1181">
        <v>0</v>
      </c>
      <c r="J1181" t="s">
        <v>2279</v>
      </c>
      <c r="K1181" t="s">
        <v>2279</v>
      </c>
      <c r="L1181" t="s">
        <v>2279</v>
      </c>
      <c r="M1181" t="s">
        <v>2279</v>
      </c>
      <c r="N1181" t="s">
        <v>2279</v>
      </c>
      <c r="O1181" s="190" t="str">
        <f>"["&amp;$C1181&amp;"]["&amp;$D1181&amp;"]["&amp;$F1181&amp;"]"</f>
        <v>[S06_AircraftOperatorsVerificationTKMReportChecks2][1][NumberOfReports]</v>
      </c>
    </row>
    <row r="1182" spans="1:15" x14ac:dyDescent="0.3">
      <c r="A1182" t="s">
        <v>2277</v>
      </c>
      <c r="B1182" t="s">
        <v>2026</v>
      </c>
      <c r="C1182" t="s">
        <v>2032</v>
      </c>
      <c r="D1182">
        <v>2</v>
      </c>
      <c r="E1182" t="s">
        <v>1447</v>
      </c>
      <c r="F1182" t="s">
        <v>1998</v>
      </c>
      <c r="G1182" t="s">
        <v>1748</v>
      </c>
      <c r="H1182" t="s">
        <v>2279</v>
      </c>
      <c r="I1182">
        <v>0</v>
      </c>
      <c r="J1182" t="s">
        <v>2279</v>
      </c>
      <c r="K1182" t="s">
        <v>2279</v>
      </c>
      <c r="L1182" t="s">
        <v>2279</v>
      </c>
      <c r="M1182" t="s">
        <v>2279</v>
      </c>
      <c r="N1182" t="s">
        <v>2279</v>
      </c>
      <c r="O1182" s="190" t="str">
        <f>"["&amp;$C1182&amp;"]["&amp;$D1182&amp;"]["&amp;$F1182&amp;"]"</f>
        <v>[S06_AircraftOperatorsVerificationTKMReportChecks2][2][NumberOfReports]</v>
      </c>
    </row>
    <row r="1183" spans="1:15" x14ac:dyDescent="0.3">
      <c r="A1183" t="s">
        <v>2277</v>
      </c>
      <c r="B1183" t="s">
        <v>2026</v>
      </c>
      <c r="C1183" t="s">
        <v>2033</v>
      </c>
      <c r="D1183">
        <v>1</v>
      </c>
      <c r="E1183" t="s">
        <v>1447</v>
      </c>
      <c r="F1183" t="s">
        <v>2000</v>
      </c>
      <c r="G1183" t="s">
        <v>1741</v>
      </c>
      <c r="H1183" t="s">
        <v>2381</v>
      </c>
      <c r="I1183" t="s">
        <v>2279</v>
      </c>
      <c r="J1183" t="s">
        <v>2279</v>
      </c>
      <c r="K1183" t="s">
        <v>2279</v>
      </c>
      <c r="L1183" t="s">
        <v>2279</v>
      </c>
      <c r="M1183" t="s">
        <v>2279</v>
      </c>
      <c r="N1183" t="s">
        <v>2279</v>
      </c>
      <c r="O1183" s="190" t="str">
        <f>"["&amp;$C1183&amp;"]["&amp;$D1183&amp;"]["&amp;$F1183&amp;"]"</f>
        <v>[S06_AircraftOperatorsVerificationTKMReportChecks3][1][ActionsTaken]</v>
      </c>
    </row>
    <row r="1184" spans="1:15" x14ac:dyDescent="0.3">
      <c r="A1184" t="s">
        <v>2277</v>
      </c>
      <c r="B1184" t="s">
        <v>2034</v>
      </c>
      <c r="C1184" t="s">
        <v>2035</v>
      </c>
      <c r="D1184">
        <v>0</v>
      </c>
      <c r="E1184" t="s">
        <v>1447</v>
      </c>
      <c r="F1184" t="s">
        <v>2035</v>
      </c>
      <c r="G1184" t="s">
        <v>1759</v>
      </c>
      <c r="H1184" t="s">
        <v>2279</v>
      </c>
      <c r="I1184" t="s">
        <v>2279</v>
      </c>
      <c r="J1184" t="s">
        <v>2279</v>
      </c>
      <c r="K1184" t="s">
        <v>2279</v>
      </c>
      <c r="L1184" t="s">
        <v>1447</v>
      </c>
      <c r="M1184" t="s">
        <v>2279</v>
      </c>
      <c r="N1184" t="s">
        <v>2279</v>
      </c>
      <c r="O1184" s="190" t="str">
        <f>"["&amp;$C1184&amp;"]["&amp;$D1184&amp;"]["&amp;$F1184&amp;"]"</f>
        <v>[AircraftOperatorsVisitsWaivedLowEmitters][0][AircraftOperatorsVisitsWaivedLowEmitters]</v>
      </c>
    </row>
    <row r="1185" spans="1:15" x14ac:dyDescent="0.3">
      <c r="A1185" t="s">
        <v>2277</v>
      </c>
      <c r="B1185" t="s">
        <v>2034</v>
      </c>
      <c r="C1185" t="s">
        <v>2036</v>
      </c>
      <c r="D1185">
        <v>0</v>
      </c>
      <c r="E1185" t="s">
        <v>1447</v>
      </c>
      <c r="F1185" t="s">
        <v>2036</v>
      </c>
      <c r="G1185" t="s">
        <v>1748</v>
      </c>
      <c r="H1185" t="s">
        <v>2279</v>
      </c>
      <c r="I1185">
        <v>0</v>
      </c>
      <c r="J1185" t="s">
        <v>2279</v>
      </c>
      <c r="K1185" t="s">
        <v>2279</v>
      </c>
      <c r="L1185" t="s">
        <v>2279</v>
      </c>
      <c r="M1185" t="s">
        <v>2279</v>
      </c>
      <c r="N1185" t="s">
        <v>2279</v>
      </c>
      <c r="O1185" s="190" t="str">
        <f>"["&amp;$C1185&amp;"]["&amp;$D1185&amp;"]["&amp;$F1185&amp;"]"</f>
        <v>[AircraftOperatorsVisitsWaivedLowEmittersDetail][0][AircraftOperatorsVisitsWaivedLowEmittersDetail]</v>
      </c>
    </row>
    <row r="1186" spans="1:15" x14ac:dyDescent="0.3">
      <c r="A1186" t="s">
        <v>2277</v>
      </c>
      <c r="B1186" t="s">
        <v>2037</v>
      </c>
      <c r="C1186" t="s">
        <v>2038</v>
      </c>
      <c r="D1186">
        <v>0</v>
      </c>
      <c r="E1186" t="s">
        <v>1447</v>
      </c>
      <c r="F1186" t="s">
        <v>2038</v>
      </c>
      <c r="G1186" t="s">
        <v>1759</v>
      </c>
      <c r="H1186" t="s">
        <v>2279</v>
      </c>
      <c r="I1186" t="s">
        <v>2279</v>
      </c>
      <c r="J1186" t="s">
        <v>2279</v>
      </c>
      <c r="K1186" t="s">
        <v>2279</v>
      </c>
      <c r="L1186" t="s">
        <v>1447</v>
      </c>
      <c r="M1186" t="s">
        <v>2279</v>
      </c>
      <c r="N1186" t="s">
        <v>2279</v>
      </c>
      <c r="O1186" s="190" t="str">
        <f>"["&amp;$C1186&amp;"]["&amp;$D1186&amp;"]["&amp;$F1186&amp;"]"</f>
        <v>[VirtualVisitsAircraft][0][VirtualVisitsAircraft]</v>
      </c>
    </row>
    <row r="1187" spans="1:15" x14ac:dyDescent="0.3">
      <c r="A1187" t="s">
        <v>2277</v>
      </c>
      <c r="B1187" t="s">
        <v>2048</v>
      </c>
      <c r="C1187" t="s">
        <v>2049</v>
      </c>
      <c r="D1187">
        <v>0</v>
      </c>
      <c r="E1187" t="s">
        <v>1447</v>
      </c>
      <c r="F1187" t="s">
        <v>2049</v>
      </c>
      <c r="G1187" t="s">
        <v>1748</v>
      </c>
      <c r="H1187" t="s">
        <v>2279</v>
      </c>
      <c r="I1187">
        <v>0</v>
      </c>
      <c r="J1187" t="s">
        <v>2279</v>
      </c>
      <c r="K1187" t="s">
        <v>2279</v>
      </c>
      <c r="L1187" t="s">
        <v>2279</v>
      </c>
      <c r="M1187" t="s">
        <v>2279</v>
      </c>
      <c r="N1187" t="s">
        <v>2279</v>
      </c>
      <c r="O1187" s="190" t="str">
        <f>"["&amp;$C1187&amp;"]["&amp;$D1187&amp;"]["&amp;$F1187&amp;"]"</f>
        <v>[AircraftOperatorsMandateArt15UseNumber][0][AircraftOperatorsMandateArt15UseNumber]</v>
      </c>
    </row>
    <row r="1188" spans="1:15" x14ac:dyDescent="0.3">
      <c r="A1188" t="s">
        <v>2277</v>
      </c>
      <c r="B1188" t="s">
        <v>2052</v>
      </c>
      <c r="C1188" t="s">
        <v>2053</v>
      </c>
      <c r="D1188">
        <v>0</v>
      </c>
      <c r="E1188" t="s">
        <v>1447</v>
      </c>
      <c r="F1188" t="s">
        <v>2053</v>
      </c>
      <c r="G1188" t="s">
        <v>1759</v>
      </c>
      <c r="H1188" t="s">
        <v>2279</v>
      </c>
      <c r="I1188" t="s">
        <v>2279</v>
      </c>
      <c r="J1188" t="s">
        <v>2279</v>
      </c>
      <c r="K1188" t="s">
        <v>2279</v>
      </c>
      <c r="L1188" t="s">
        <v>1419</v>
      </c>
      <c r="M1188" t="s">
        <v>2279</v>
      </c>
      <c r="N1188" t="s">
        <v>2279</v>
      </c>
      <c r="O1188" s="190" t="str">
        <f>"["&amp;$C1188&amp;"]["&amp;$D1188&amp;"]["&amp;$F1188&amp;"]"</f>
        <v>[CommissionTemplatesAllocation][0][CommissionTemplatesAllocation]</v>
      </c>
    </row>
    <row r="1189" spans="1:15" x14ac:dyDescent="0.3">
      <c r="A1189" t="s">
        <v>2277</v>
      </c>
      <c r="B1189" t="s">
        <v>2055</v>
      </c>
      <c r="C1189" t="s">
        <v>2056</v>
      </c>
      <c r="D1189">
        <v>0</v>
      </c>
      <c r="E1189" t="s">
        <v>1447</v>
      </c>
      <c r="F1189" t="s">
        <v>2056</v>
      </c>
      <c r="G1189" t="s">
        <v>1759</v>
      </c>
      <c r="H1189" t="s">
        <v>2279</v>
      </c>
      <c r="I1189" t="s">
        <v>2279</v>
      </c>
      <c r="J1189" t="s">
        <v>2279</v>
      </c>
      <c r="K1189" t="s">
        <v>2279</v>
      </c>
      <c r="L1189" t="s">
        <v>1447</v>
      </c>
      <c r="M1189" t="s">
        <v>2279</v>
      </c>
      <c r="N1189" t="s">
        <v>2279</v>
      </c>
      <c r="O1189" s="190" t="str">
        <f>"["&amp;$C1189&amp;"]["&amp;$D1189&amp;"]["&amp;$F1189&amp;"]"</f>
        <v>[FeesAllocation][0][FeesAllocation]</v>
      </c>
    </row>
    <row r="1190" spans="1:15" x14ac:dyDescent="0.3">
      <c r="A1190" t="s">
        <v>2277</v>
      </c>
      <c r="B1190" t="s">
        <v>2060</v>
      </c>
      <c r="C1190" t="s">
        <v>2061</v>
      </c>
      <c r="D1190">
        <v>0</v>
      </c>
      <c r="E1190" t="s">
        <v>1447</v>
      </c>
      <c r="F1190" t="s">
        <v>2061</v>
      </c>
      <c r="G1190" t="s">
        <v>1759</v>
      </c>
      <c r="H1190" t="s">
        <v>2279</v>
      </c>
      <c r="I1190" t="s">
        <v>2279</v>
      </c>
      <c r="J1190" t="s">
        <v>2279</v>
      </c>
      <c r="K1190" t="s">
        <v>2279</v>
      </c>
      <c r="L1190" t="s">
        <v>1447</v>
      </c>
      <c r="M1190" t="s">
        <v>2279</v>
      </c>
      <c r="N1190" t="s">
        <v>2279</v>
      </c>
      <c r="O1190" s="190" t="str">
        <f>"["&amp;$C1190&amp;"]["&amp;$D1190&amp;"]["&amp;$F1190&amp;"]"</f>
        <v>[ITforAllocationData][0][ITforAllocationData]</v>
      </c>
    </row>
    <row r="1191" spans="1:15" x14ac:dyDescent="0.3">
      <c r="A1191" t="s">
        <v>2277</v>
      </c>
      <c r="B1191" t="s">
        <v>2064</v>
      </c>
      <c r="C1191" t="s">
        <v>2065</v>
      </c>
      <c r="D1191">
        <v>0</v>
      </c>
      <c r="E1191" t="s">
        <v>1447</v>
      </c>
      <c r="F1191" t="s">
        <v>2065</v>
      </c>
      <c r="G1191" t="s">
        <v>1759</v>
      </c>
      <c r="H1191" t="s">
        <v>2279</v>
      </c>
      <c r="I1191" t="s">
        <v>2279</v>
      </c>
      <c r="J1191" t="s">
        <v>2279</v>
      </c>
      <c r="K1191" t="s">
        <v>2279</v>
      </c>
      <c r="L1191" t="s">
        <v>1419</v>
      </c>
      <c r="M1191" t="s">
        <v>2279</v>
      </c>
      <c r="N1191" t="s">
        <v>2279</v>
      </c>
      <c r="O1191" s="190" t="str">
        <f>"["&amp;$C1191&amp;"]["&amp;$D1191&amp;"]["&amp;$F1191&amp;"]"</f>
        <v>[SubInstallationBenchmark61][0][SubInstallationBenchmark61]</v>
      </c>
    </row>
    <row r="1192" spans="1:15" x14ac:dyDescent="0.3">
      <c r="A1192" t="s">
        <v>2277</v>
      </c>
      <c r="B1192" t="s">
        <v>2064</v>
      </c>
      <c r="C1192" t="s">
        <v>2066</v>
      </c>
      <c r="D1192">
        <v>1</v>
      </c>
      <c r="E1192" t="s">
        <v>1447</v>
      </c>
      <c r="F1192" t="s">
        <v>2067</v>
      </c>
      <c r="G1192" t="s">
        <v>1748</v>
      </c>
      <c r="H1192" t="s">
        <v>2279</v>
      </c>
      <c r="I1192">
        <v>0</v>
      </c>
      <c r="J1192" t="s">
        <v>2279</v>
      </c>
      <c r="K1192" t="s">
        <v>2279</v>
      </c>
      <c r="L1192" t="s">
        <v>2279</v>
      </c>
      <c r="M1192" t="s">
        <v>2279</v>
      </c>
      <c r="N1192" t="s">
        <v>2279</v>
      </c>
      <c r="O1192" s="190" t="str">
        <f>"["&amp;$C1192&amp;"]["&amp;$D1192&amp;"]["&amp;$F1192&amp;"]"</f>
        <v>[S08_SubInstallationBenchmark61Detail][1][FuelBenchmark]</v>
      </c>
    </row>
    <row r="1193" spans="1:15" x14ac:dyDescent="0.3">
      <c r="A1193" t="s">
        <v>2277</v>
      </c>
      <c r="B1193" t="s">
        <v>2064</v>
      </c>
      <c r="C1193" t="s">
        <v>2066</v>
      </c>
      <c r="D1193">
        <v>1</v>
      </c>
      <c r="E1193" t="s">
        <v>1447</v>
      </c>
      <c r="F1193" t="s">
        <v>2068</v>
      </c>
      <c r="G1193" t="s">
        <v>1748</v>
      </c>
      <c r="H1193" t="s">
        <v>2279</v>
      </c>
      <c r="I1193">
        <v>1</v>
      </c>
      <c r="J1193" t="s">
        <v>2279</v>
      </c>
      <c r="K1193" t="s">
        <v>2279</v>
      </c>
      <c r="L1193" t="s">
        <v>2279</v>
      </c>
      <c r="M1193" t="s">
        <v>2279</v>
      </c>
      <c r="N1193" t="s">
        <v>2279</v>
      </c>
      <c r="O1193" s="190" t="str">
        <f>"["&amp;$C1193&amp;"]["&amp;$D1193&amp;"]["&amp;$F1193&amp;"]"</f>
        <v>[S08_SubInstallationBenchmark61Detail][1][HeatBenchmark]</v>
      </c>
    </row>
    <row r="1194" spans="1:15" x14ac:dyDescent="0.3">
      <c r="A1194" t="s">
        <v>2277</v>
      </c>
      <c r="B1194" t="s">
        <v>2064</v>
      </c>
      <c r="C1194" t="s">
        <v>2069</v>
      </c>
      <c r="D1194">
        <v>0</v>
      </c>
      <c r="E1194" t="s">
        <v>1447</v>
      </c>
      <c r="F1194" t="s">
        <v>2069</v>
      </c>
      <c r="G1194" t="s">
        <v>1759</v>
      </c>
      <c r="H1194" t="s">
        <v>2279</v>
      </c>
      <c r="I1194" t="s">
        <v>2279</v>
      </c>
      <c r="J1194" t="s">
        <v>2279</v>
      </c>
      <c r="K1194" t="s">
        <v>2279</v>
      </c>
      <c r="L1194" t="s">
        <v>1419</v>
      </c>
      <c r="M1194" t="s">
        <v>2279</v>
      </c>
      <c r="N1194" t="s">
        <v>2279</v>
      </c>
      <c r="O1194" s="190" t="str">
        <f>"["&amp;$C1194&amp;"]["&amp;$D1194&amp;"]["&amp;$F1194&amp;"]"</f>
        <v>[SubInstallationBenchmark61Reject][0][SubInstallationBenchmark61Reject]</v>
      </c>
    </row>
    <row r="1195" spans="1:15" x14ac:dyDescent="0.3">
      <c r="A1195" t="s">
        <v>2277</v>
      </c>
      <c r="B1195" t="s">
        <v>2064</v>
      </c>
      <c r="C1195" t="s">
        <v>2070</v>
      </c>
      <c r="D1195">
        <v>1</v>
      </c>
      <c r="E1195" t="s">
        <v>1447</v>
      </c>
      <c r="F1195" t="s">
        <v>2067</v>
      </c>
      <c r="G1195" t="s">
        <v>1748</v>
      </c>
      <c r="H1195" t="s">
        <v>2279</v>
      </c>
      <c r="I1195">
        <v>1</v>
      </c>
      <c r="J1195" t="s">
        <v>2279</v>
      </c>
      <c r="K1195" t="s">
        <v>2279</v>
      </c>
      <c r="L1195" t="s">
        <v>2279</v>
      </c>
      <c r="M1195" t="s">
        <v>2279</v>
      </c>
      <c r="N1195" t="s">
        <v>2279</v>
      </c>
      <c r="O1195" s="190" t="str">
        <f>"["&amp;$C1195&amp;"]["&amp;$D1195&amp;"]["&amp;$F1195&amp;"]"</f>
        <v>[S08_SubInstallationBenchmark61RejectDetail][1][FuelBenchmark]</v>
      </c>
    </row>
    <row r="1196" spans="1:15" x14ac:dyDescent="0.3">
      <c r="A1196" t="s">
        <v>2277</v>
      </c>
      <c r="B1196" t="s">
        <v>2064</v>
      </c>
      <c r="C1196" t="s">
        <v>2070</v>
      </c>
      <c r="D1196">
        <v>1</v>
      </c>
      <c r="E1196" t="s">
        <v>1447</v>
      </c>
      <c r="F1196" t="s">
        <v>2068</v>
      </c>
      <c r="G1196" t="s">
        <v>1748</v>
      </c>
      <c r="H1196" t="s">
        <v>2279</v>
      </c>
      <c r="I1196">
        <v>0</v>
      </c>
      <c r="J1196" t="s">
        <v>2279</v>
      </c>
      <c r="K1196" t="s">
        <v>2279</v>
      </c>
      <c r="L1196" t="s">
        <v>2279</v>
      </c>
      <c r="M1196" t="s">
        <v>2279</v>
      </c>
      <c r="N1196" t="s">
        <v>2279</v>
      </c>
      <c r="O1196" s="190" t="str">
        <f>"["&amp;$C1196&amp;"]["&amp;$D1196&amp;"]["&amp;$F1196&amp;"]"</f>
        <v>[S08_SubInstallationBenchmark61RejectDetail][1][HeatBenchmark]</v>
      </c>
    </row>
    <row r="1197" spans="1:15" x14ac:dyDescent="0.3">
      <c r="A1197" t="s">
        <v>2277</v>
      </c>
      <c r="B1197" t="s">
        <v>2064</v>
      </c>
      <c r="C1197" t="s">
        <v>2071</v>
      </c>
      <c r="D1197">
        <v>0</v>
      </c>
      <c r="E1197" t="s">
        <v>1447</v>
      </c>
      <c r="F1197" t="s">
        <v>2071</v>
      </c>
      <c r="G1197" t="s">
        <v>1759</v>
      </c>
      <c r="H1197" t="s">
        <v>2279</v>
      </c>
      <c r="I1197" t="s">
        <v>2279</v>
      </c>
      <c r="J1197" t="s">
        <v>2279</v>
      </c>
      <c r="K1197" t="s">
        <v>2279</v>
      </c>
      <c r="L1197" t="s">
        <v>1447</v>
      </c>
      <c r="M1197" t="s">
        <v>2279</v>
      </c>
      <c r="N1197" t="s">
        <v>2279</v>
      </c>
      <c r="O1197" s="190" t="str">
        <f>"["&amp;$C1197&amp;"]["&amp;$D1197&amp;"]["&amp;$F1197&amp;"]"</f>
        <v>[SubInstallationBenchmark62][0][SubInstallationBenchmark62]</v>
      </c>
    </row>
    <row r="1198" spans="1:15" x14ac:dyDescent="0.3">
      <c r="A1198" t="s">
        <v>2277</v>
      </c>
      <c r="B1198" t="s">
        <v>2073</v>
      </c>
      <c r="C1198" t="s">
        <v>2074</v>
      </c>
      <c r="D1198">
        <v>1</v>
      </c>
      <c r="E1198" t="s">
        <v>1447</v>
      </c>
      <c r="F1198" t="s">
        <v>1798</v>
      </c>
      <c r="G1198" t="s">
        <v>1748</v>
      </c>
      <c r="H1198" t="s">
        <v>2279</v>
      </c>
      <c r="I1198">
        <v>1</v>
      </c>
      <c r="J1198" t="s">
        <v>2279</v>
      </c>
      <c r="K1198" t="s">
        <v>2279</v>
      </c>
      <c r="L1198" t="s">
        <v>2279</v>
      </c>
      <c r="M1198" t="s">
        <v>2279</v>
      </c>
      <c r="N1198" t="s">
        <v>2279</v>
      </c>
      <c r="O1198" s="190" t="str">
        <f>"["&amp;$C1198&amp;"]["&amp;$D1198&amp;"]["&amp;$F1198&amp;"]"</f>
        <v>[S08_ScopeExclusion][1][NumberOfInstallations]</v>
      </c>
    </row>
    <row r="1199" spans="1:15" x14ac:dyDescent="0.3">
      <c r="A1199" t="s">
        <v>2277</v>
      </c>
      <c r="B1199" t="s">
        <v>2073</v>
      </c>
      <c r="C1199" t="s">
        <v>2074</v>
      </c>
      <c r="D1199">
        <v>2</v>
      </c>
      <c r="E1199" t="s">
        <v>1447</v>
      </c>
      <c r="F1199" t="s">
        <v>1798</v>
      </c>
      <c r="G1199" t="s">
        <v>1748</v>
      </c>
      <c r="H1199" t="s">
        <v>2279</v>
      </c>
      <c r="I1199">
        <v>7</v>
      </c>
      <c r="J1199" t="s">
        <v>2279</v>
      </c>
      <c r="K1199" t="s">
        <v>2279</v>
      </c>
      <c r="L1199" t="s">
        <v>2279</v>
      </c>
      <c r="M1199" t="s">
        <v>2279</v>
      </c>
      <c r="N1199" t="s">
        <v>2279</v>
      </c>
      <c r="O1199" s="190" t="str">
        <f>"["&amp;$C1199&amp;"]["&amp;$D1199&amp;"]["&amp;$F1199&amp;"]"</f>
        <v>[S08_ScopeExclusion][2][NumberOfInstallations]</v>
      </c>
    </row>
    <row r="1200" spans="1:15" x14ac:dyDescent="0.3">
      <c r="A1200" t="s">
        <v>2277</v>
      </c>
      <c r="B1200" t="s">
        <v>2073</v>
      </c>
      <c r="C1200" t="s">
        <v>2074</v>
      </c>
      <c r="D1200">
        <v>3</v>
      </c>
      <c r="E1200" t="s">
        <v>1447</v>
      </c>
      <c r="F1200" t="s">
        <v>1798</v>
      </c>
      <c r="G1200" t="s">
        <v>1748</v>
      </c>
      <c r="H1200" t="s">
        <v>2279</v>
      </c>
      <c r="I1200">
        <v>0</v>
      </c>
      <c r="J1200" t="s">
        <v>2279</v>
      </c>
      <c r="K1200" t="s">
        <v>2279</v>
      </c>
      <c r="L1200" t="s">
        <v>2279</v>
      </c>
      <c r="M1200" t="s">
        <v>2279</v>
      </c>
      <c r="N1200" t="s">
        <v>2279</v>
      </c>
      <c r="O1200" s="190" t="str">
        <f>"["&amp;$C1200&amp;"]["&amp;$D1200&amp;"]["&amp;$F1200&amp;"]"</f>
        <v>[S08_ScopeExclusion][3][NumberOfInstallations]</v>
      </c>
    </row>
    <row r="1201" spans="1:15" x14ac:dyDescent="0.3">
      <c r="A1201" t="s">
        <v>2277</v>
      </c>
      <c r="B1201" t="s">
        <v>2073</v>
      </c>
      <c r="C1201" t="s">
        <v>2074</v>
      </c>
      <c r="D1201">
        <v>4</v>
      </c>
      <c r="E1201" t="s">
        <v>1447</v>
      </c>
      <c r="F1201" t="s">
        <v>1798</v>
      </c>
      <c r="G1201" t="s">
        <v>1748</v>
      </c>
      <c r="H1201" t="s">
        <v>2279</v>
      </c>
      <c r="I1201">
        <v>0</v>
      </c>
      <c r="J1201" t="s">
        <v>2279</v>
      </c>
      <c r="K1201" t="s">
        <v>2279</v>
      </c>
      <c r="L1201" t="s">
        <v>2279</v>
      </c>
      <c r="M1201" t="s">
        <v>2279</v>
      </c>
      <c r="N1201" t="s">
        <v>2279</v>
      </c>
      <c r="O1201" s="190" t="str">
        <f>"["&amp;$C1201&amp;"]["&amp;$D1201&amp;"]["&amp;$F1201&amp;"]"</f>
        <v>[S08_ScopeExclusion][4][NumberOfInstallations]</v>
      </c>
    </row>
    <row r="1202" spans="1:15" x14ac:dyDescent="0.3">
      <c r="A1202" t="s">
        <v>2277</v>
      </c>
      <c r="B1202" t="s">
        <v>2073</v>
      </c>
      <c r="C1202" t="s">
        <v>2074</v>
      </c>
      <c r="D1202">
        <v>5</v>
      </c>
      <c r="E1202" t="s">
        <v>1447</v>
      </c>
      <c r="F1202" t="s">
        <v>1798</v>
      </c>
      <c r="G1202" t="s">
        <v>1748</v>
      </c>
      <c r="H1202" t="s">
        <v>2279</v>
      </c>
      <c r="I1202">
        <v>0</v>
      </c>
      <c r="J1202" t="s">
        <v>2279</v>
      </c>
      <c r="K1202" t="s">
        <v>2279</v>
      </c>
      <c r="L1202" t="s">
        <v>2279</v>
      </c>
      <c r="M1202" t="s">
        <v>2279</v>
      </c>
      <c r="N1202" t="s">
        <v>2279</v>
      </c>
      <c r="O1202" s="190" t="str">
        <f>"["&amp;$C1202&amp;"]["&amp;$D1202&amp;"]["&amp;$F1202&amp;"]"</f>
        <v>[S08_ScopeExclusion][5][NumberOfInstallations]</v>
      </c>
    </row>
    <row r="1203" spans="1:15" x14ac:dyDescent="0.3">
      <c r="A1203" t="s">
        <v>2277</v>
      </c>
      <c r="B1203" t="s">
        <v>2073</v>
      </c>
      <c r="C1203" t="s">
        <v>2074</v>
      </c>
      <c r="D1203">
        <v>6</v>
      </c>
      <c r="E1203" t="s">
        <v>1419</v>
      </c>
      <c r="F1203" t="s">
        <v>1798</v>
      </c>
      <c r="G1203" t="s">
        <v>1748</v>
      </c>
      <c r="H1203" t="s">
        <v>2279</v>
      </c>
      <c r="I1203">
        <v>3</v>
      </c>
      <c r="J1203" t="s">
        <v>2279</v>
      </c>
      <c r="K1203" t="s">
        <v>2279</v>
      </c>
      <c r="L1203" t="s">
        <v>2279</v>
      </c>
      <c r="M1203" t="s">
        <v>2279</v>
      </c>
      <c r="N1203" t="s">
        <v>2279</v>
      </c>
      <c r="O1203" s="190" t="str">
        <f>"["&amp;$C1203&amp;"]["&amp;$D1203&amp;"]["&amp;$F1203&amp;"]"</f>
        <v>[S08_ScopeExclusion][6][NumberOfInstallations]</v>
      </c>
    </row>
    <row r="1204" spans="1:15" x14ac:dyDescent="0.3">
      <c r="A1204" t="s">
        <v>2277</v>
      </c>
      <c r="B1204" t="s">
        <v>2073</v>
      </c>
      <c r="C1204" t="s">
        <v>2074</v>
      </c>
      <c r="D1204">
        <v>7</v>
      </c>
      <c r="E1204" t="s">
        <v>1419</v>
      </c>
      <c r="F1204" t="s">
        <v>1798</v>
      </c>
      <c r="G1204" t="s">
        <v>1748</v>
      </c>
      <c r="H1204" t="s">
        <v>2279</v>
      </c>
      <c r="I1204">
        <v>13</v>
      </c>
      <c r="J1204" t="s">
        <v>2279</v>
      </c>
      <c r="K1204" t="s">
        <v>2279</v>
      </c>
      <c r="L1204" t="s">
        <v>2279</v>
      </c>
      <c r="M1204" t="s">
        <v>2279</v>
      </c>
      <c r="N1204" t="s">
        <v>2279</v>
      </c>
      <c r="O1204" s="190" t="str">
        <f>"["&amp;$C1204&amp;"]["&amp;$D1204&amp;"]["&amp;$F1204&amp;"]"</f>
        <v>[S08_ScopeExclusion][7][NumberOfInstallations]</v>
      </c>
    </row>
    <row r="1205" spans="1:15" x14ac:dyDescent="0.3">
      <c r="A1205" t="s">
        <v>2277</v>
      </c>
      <c r="B1205" t="s">
        <v>2073</v>
      </c>
      <c r="C1205" t="s">
        <v>2074</v>
      </c>
      <c r="D1205">
        <v>6</v>
      </c>
      <c r="E1205" t="s">
        <v>1419</v>
      </c>
      <c r="F1205" t="s">
        <v>2075</v>
      </c>
      <c r="G1205" t="s">
        <v>1791</v>
      </c>
      <c r="H1205" t="s">
        <v>2279</v>
      </c>
      <c r="I1205" t="s">
        <v>2279</v>
      </c>
      <c r="J1205" t="s">
        <v>2279</v>
      </c>
      <c r="K1205" t="s">
        <v>2397</v>
      </c>
      <c r="L1205" t="s">
        <v>2279</v>
      </c>
      <c r="M1205" t="s">
        <v>2279</v>
      </c>
      <c r="N1205" t="s">
        <v>2279</v>
      </c>
      <c r="O1205" s="190" t="str">
        <f>"["&amp;$C1205&amp;"]["&amp;$D1205&amp;"]["&amp;$F1205&amp;"]"</f>
        <v>[S08_ScopeExclusion][6][OtherReasons]</v>
      </c>
    </row>
    <row r="1206" spans="1:15" x14ac:dyDescent="0.3">
      <c r="A1206" t="s">
        <v>2277</v>
      </c>
      <c r="B1206" t="s">
        <v>2073</v>
      </c>
      <c r="C1206" t="s">
        <v>2074</v>
      </c>
      <c r="D1206">
        <v>7</v>
      </c>
      <c r="E1206" t="s">
        <v>1419</v>
      </c>
      <c r="F1206" t="s">
        <v>2075</v>
      </c>
      <c r="G1206" t="s">
        <v>1791</v>
      </c>
      <c r="H1206" t="s">
        <v>2279</v>
      </c>
      <c r="I1206" t="s">
        <v>2279</v>
      </c>
      <c r="J1206" t="s">
        <v>2279</v>
      </c>
      <c r="K1206" t="s">
        <v>2398</v>
      </c>
      <c r="L1206" t="s">
        <v>2279</v>
      </c>
      <c r="M1206" t="s">
        <v>2279</v>
      </c>
      <c r="N1206" t="s">
        <v>2279</v>
      </c>
      <c r="O1206" s="190" t="str">
        <f>"["&amp;$C1206&amp;"]["&amp;$D1206&amp;"]["&amp;$F1206&amp;"]"</f>
        <v>[S08_ScopeExclusion][7][OtherReasons]</v>
      </c>
    </row>
    <row r="1207" spans="1:15" x14ac:dyDescent="0.3">
      <c r="A1207" t="s">
        <v>2277</v>
      </c>
      <c r="B1207" t="s">
        <v>2076</v>
      </c>
      <c r="C1207" t="s">
        <v>2077</v>
      </c>
      <c r="D1207">
        <v>0</v>
      </c>
      <c r="E1207" t="s">
        <v>1447</v>
      </c>
      <c r="F1207" t="s">
        <v>2077</v>
      </c>
      <c r="G1207" t="s">
        <v>1759</v>
      </c>
      <c r="H1207" t="s">
        <v>2279</v>
      </c>
      <c r="I1207" t="s">
        <v>2279</v>
      </c>
      <c r="J1207" t="s">
        <v>2279</v>
      </c>
      <c r="K1207" t="s">
        <v>2279</v>
      </c>
      <c r="L1207" t="s">
        <v>1447</v>
      </c>
      <c r="M1207" t="s">
        <v>2279</v>
      </c>
      <c r="N1207" t="s">
        <v>2279</v>
      </c>
      <c r="O1207" s="190" t="str">
        <f>"["&amp;$C1207&amp;"]["&amp;$D1207&amp;"]["&amp;$F1207&amp;"]"</f>
        <v>[Article10cApplied][0][Article10cApplied]</v>
      </c>
    </row>
    <row r="1208" spans="1:15" x14ac:dyDescent="0.3">
      <c r="A1208" t="s">
        <v>2277</v>
      </c>
      <c r="B1208" t="s">
        <v>2080</v>
      </c>
      <c r="C1208" t="s">
        <v>2081</v>
      </c>
      <c r="D1208">
        <v>1</v>
      </c>
      <c r="E1208" t="s">
        <v>1447</v>
      </c>
      <c r="F1208" t="s">
        <v>1798</v>
      </c>
      <c r="G1208" t="s">
        <v>1748</v>
      </c>
      <c r="H1208" t="s">
        <v>2279</v>
      </c>
      <c r="I1208">
        <v>0</v>
      </c>
      <c r="J1208" t="s">
        <v>2279</v>
      </c>
      <c r="K1208" t="s">
        <v>2279</v>
      </c>
      <c r="L1208" t="s">
        <v>2279</v>
      </c>
      <c r="M1208" t="s">
        <v>2279</v>
      </c>
      <c r="N1208" t="s">
        <v>2279</v>
      </c>
      <c r="O1208" s="190" t="str">
        <f>"["&amp;$C1208&amp;"]["&amp;$D1208&amp;"]["&amp;$F1208&amp;"]"</f>
        <v>[S08_NegativeOpinionBaselineData][1][NumberOfInstallations]</v>
      </c>
    </row>
    <row r="1209" spans="1:15" x14ac:dyDescent="0.3">
      <c r="A1209" t="s">
        <v>2277</v>
      </c>
      <c r="B1209" t="s">
        <v>2080</v>
      </c>
      <c r="C1209" t="s">
        <v>2081</v>
      </c>
      <c r="D1209">
        <v>2</v>
      </c>
      <c r="E1209" t="s">
        <v>1447</v>
      </c>
      <c r="F1209" t="s">
        <v>1798</v>
      </c>
      <c r="G1209" t="s">
        <v>1748</v>
      </c>
      <c r="H1209" t="s">
        <v>2279</v>
      </c>
      <c r="I1209">
        <v>0</v>
      </c>
      <c r="J1209" t="s">
        <v>2279</v>
      </c>
      <c r="K1209" t="s">
        <v>2279</v>
      </c>
      <c r="L1209" t="s">
        <v>2279</v>
      </c>
      <c r="M1209" t="s">
        <v>2279</v>
      </c>
      <c r="N1209" t="s">
        <v>2279</v>
      </c>
      <c r="O1209" s="190" t="str">
        <f>"["&amp;$C1209&amp;"]["&amp;$D1209&amp;"]["&amp;$F1209&amp;"]"</f>
        <v>[S08_NegativeOpinionBaselineData][2][NumberOfInstallations]</v>
      </c>
    </row>
    <row r="1210" spans="1:15" x14ac:dyDescent="0.3">
      <c r="A1210" t="s">
        <v>2277</v>
      </c>
      <c r="B1210" t="s">
        <v>2080</v>
      </c>
      <c r="C1210" t="s">
        <v>2081</v>
      </c>
      <c r="D1210">
        <v>3</v>
      </c>
      <c r="E1210" t="s">
        <v>1447</v>
      </c>
      <c r="F1210" t="s">
        <v>1798</v>
      </c>
      <c r="G1210" t="s">
        <v>1748</v>
      </c>
      <c r="H1210" t="s">
        <v>2279</v>
      </c>
      <c r="I1210">
        <v>0</v>
      </c>
      <c r="J1210" t="s">
        <v>2279</v>
      </c>
      <c r="K1210" t="s">
        <v>2279</v>
      </c>
      <c r="L1210" t="s">
        <v>2279</v>
      </c>
      <c r="M1210" t="s">
        <v>2279</v>
      </c>
      <c r="N1210" t="s">
        <v>2279</v>
      </c>
      <c r="O1210" s="190" t="str">
        <f>"["&amp;$C1210&amp;"]["&amp;$D1210&amp;"]["&amp;$F1210&amp;"]"</f>
        <v>[S08_NegativeOpinionBaselineData][3][NumberOfInstallations]</v>
      </c>
    </row>
    <row r="1211" spans="1:15" x14ac:dyDescent="0.3">
      <c r="A1211" t="s">
        <v>2277</v>
      </c>
      <c r="B1211" t="s">
        <v>2082</v>
      </c>
      <c r="C1211" t="s">
        <v>2083</v>
      </c>
      <c r="D1211">
        <v>0</v>
      </c>
      <c r="E1211" t="s">
        <v>1447</v>
      </c>
      <c r="F1211" t="s">
        <v>2083</v>
      </c>
      <c r="G1211" t="s">
        <v>1759</v>
      </c>
      <c r="H1211" t="s">
        <v>2279</v>
      </c>
      <c r="I1211" t="s">
        <v>2279</v>
      </c>
      <c r="J1211" t="s">
        <v>2279</v>
      </c>
      <c r="K1211" t="s">
        <v>2279</v>
      </c>
      <c r="L1211" t="s">
        <v>1447</v>
      </c>
      <c r="M1211" t="s">
        <v>2279</v>
      </c>
      <c r="N1211" t="s">
        <v>2279</v>
      </c>
      <c r="O1211" s="190" t="str">
        <f>"["&amp;$C1211&amp;"]["&amp;$D1211&amp;"]["&amp;$F1211&amp;"]"</f>
        <v>[BaselineDataIssues][0][BaselineDataIssues]</v>
      </c>
    </row>
    <row r="1212" spans="1:15" x14ac:dyDescent="0.3">
      <c r="A1212" t="s">
        <v>2277</v>
      </c>
      <c r="B1212" t="s">
        <v>2086</v>
      </c>
      <c r="C1212" t="s">
        <v>2087</v>
      </c>
      <c r="D1212">
        <v>0</v>
      </c>
      <c r="E1212" t="s">
        <v>1447</v>
      </c>
      <c r="F1212" t="s">
        <v>2087</v>
      </c>
      <c r="G1212" t="s">
        <v>1759</v>
      </c>
      <c r="H1212" t="s">
        <v>2279</v>
      </c>
      <c r="I1212" t="s">
        <v>2279</v>
      </c>
      <c r="J1212" t="s">
        <v>2279</v>
      </c>
      <c r="K1212" t="s">
        <v>2279</v>
      </c>
      <c r="L1212" t="s">
        <v>1447</v>
      </c>
      <c r="M1212" t="s">
        <v>2279</v>
      </c>
      <c r="N1212" t="s">
        <v>2279</v>
      </c>
      <c r="O1212" s="190" t="str">
        <f>"["&amp;$C1212&amp;"]["&amp;$D1212&amp;"]["&amp;$F1212&amp;"]"</f>
        <v>[AdditionalParametersRequired][0][AdditionalParametersRequired]</v>
      </c>
    </row>
    <row r="1213" spans="1:15" x14ac:dyDescent="0.3">
      <c r="A1213" t="s">
        <v>2277</v>
      </c>
      <c r="B1213" t="s">
        <v>2089</v>
      </c>
      <c r="C1213" t="s">
        <v>2090</v>
      </c>
      <c r="D1213">
        <v>0</v>
      </c>
      <c r="E1213" t="s">
        <v>1447</v>
      </c>
      <c r="F1213" t="s">
        <v>2090</v>
      </c>
      <c r="G1213" t="s">
        <v>1759</v>
      </c>
      <c r="H1213" t="s">
        <v>2279</v>
      </c>
      <c r="I1213" t="s">
        <v>2279</v>
      </c>
      <c r="J1213" t="s">
        <v>2279</v>
      </c>
      <c r="K1213" t="s">
        <v>2279</v>
      </c>
      <c r="L1213" t="s">
        <v>1447</v>
      </c>
      <c r="M1213" t="s">
        <v>2279</v>
      </c>
      <c r="N1213" t="s">
        <v>2279</v>
      </c>
      <c r="O1213" s="190" t="str">
        <f>"["&amp;$C1213&amp;"]["&amp;$D1213&amp;"]["&amp;$F1213&amp;"]"</f>
        <v>[PreliminaryActivityRequired][0][PreliminaryActivityRequired]</v>
      </c>
    </row>
    <row r="1214" spans="1:15" x14ac:dyDescent="0.3">
      <c r="A1214" t="s">
        <v>2277</v>
      </c>
      <c r="B1214" t="s">
        <v>2092</v>
      </c>
      <c r="C1214" t="s">
        <v>2093</v>
      </c>
      <c r="D1214">
        <v>1</v>
      </c>
      <c r="E1214" t="s">
        <v>1447</v>
      </c>
      <c r="F1214" t="s">
        <v>1798</v>
      </c>
      <c r="G1214" t="s">
        <v>1748</v>
      </c>
      <c r="H1214" t="s">
        <v>2279</v>
      </c>
      <c r="I1214">
        <v>0</v>
      </c>
      <c r="J1214" t="s">
        <v>2279</v>
      </c>
      <c r="K1214" t="s">
        <v>2279</v>
      </c>
      <c r="L1214" t="s">
        <v>2279</v>
      </c>
      <c r="M1214" t="s">
        <v>2279</v>
      </c>
      <c r="N1214" t="s">
        <v>2279</v>
      </c>
      <c r="O1214" s="190" t="str">
        <f>"["&amp;$C1214&amp;"]["&amp;$D1214&amp;"]["&amp;$F1214&amp;"]"</f>
        <v>[S08_NegativeOpinionActivityData][1][NumberOfInstallations]</v>
      </c>
    </row>
    <row r="1215" spans="1:15" x14ac:dyDescent="0.3">
      <c r="A1215" t="s">
        <v>2277</v>
      </c>
      <c r="B1215" t="s">
        <v>2092</v>
      </c>
      <c r="C1215" t="s">
        <v>2093</v>
      </c>
      <c r="D1215">
        <v>2</v>
      </c>
      <c r="E1215" t="s">
        <v>1447</v>
      </c>
      <c r="F1215" t="s">
        <v>1798</v>
      </c>
      <c r="G1215" t="s">
        <v>1748</v>
      </c>
      <c r="H1215" t="s">
        <v>2279</v>
      </c>
      <c r="I1215">
        <v>0</v>
      </c>
      <c r="J1215" t="s">
        <v>2279</v>
      </c>
      <c r="K1215" t="s">
        <v>2279</v>
      </c>
      <c r="L1215" t="s">
        <v>2279</v>
      </c>
      <c r="M1215" t="s">
        <v>2279</v>
      </c>
      <c r="N1215" t="s">
        <v>2279</v>
      </c>
      <c r="O1215" s="190" t="str">
        <f>"["&amp;$C1215&amp;"]["&amp;$D1215&amp;"]["&amp;$F1215&amp;"]"</f>
        <v>[S08_NegativeOpinionActivityData][2][NumberOfInstallations]</v>
      </c>
    </row>
    <row r="1216" spans="1:15" x14ac:dyDescent="0.3">
      <c r="A1216" t="s">
        <v>2277</v>
      </c>
      <c r="B1216" t="s">
        <v>2092</v>
      </c>
      <c r="C1216" t="s">
        <v>2093</v>
      </c>
      <c r="D1216">
        <v>3</v>
      </c>
      <c r="E1216" t="s">
        <v>1447</v>
      </c>
      <c r="F1216" t="s">
        <v>1798</v>
      </c>
      <c r="G1216" t="s">
        <v>1748</v>
      </c>
      <c r="H1216" t="s">
        <v>2279</v>
      </c>
      <c r="I1216">
        <v>0</v>
      </c>
      <c r="J1216" t="s">
        <v>2279</v>
      </c>
      <c r="K1216" t="s">
        <v>2279</v>
      </c>
      <c r="L1216" t="s">
        <v>2279</v>
      </c>
      <c r="M1216" t="s">
        <v>2279</v>
      </c>
      <c r="N1216" t="s">
        <v>2279</v>
      </c>
      <c r="O1216" s="190" t="str">
        <f>"["&amp;$C1216&amp;"]["&amp;$D1216&amp;"]["&amp;$F1216&amp;"]"</f>
        <v>[S08_NegativeOpinionActivityData][3][NumberOfInstallations]</v>
      </c>
    </row>
    <row r="1217" spans="1:15" x14ac:dyDescent="0.3">
      <c r="A1217" t="s">
        <v>2277</v>
      </c>
      <c r="B1217" t="s">
        <v>2092</v>
      </c>
      <c r="C1217" t="s">
        <v>2093</v>
      </c>
      <c r="D1217">
        <v>4</v>
      </c>
      <c r="E1217" t="s">
        <v>1447</v>
      </c>
      <c r="F1217" t="s">
        <v>1798</v>
      </c>
      <c r="G1217" t="s">
        <v>1748</v>
      </c>
      <c r="H1217" t="s">
        <v>2279</v>
      </c>
      <c r="I1217">
        <v>0</v>
      </c>
      <c r="J1217" t="s">
        <v>2279</v>
      </c>
      <c r="K1217" t="s">
        <v>2279</v>
      </c>
      <c r="L1217" t="s">
        <v>2279</v>
      </c>
      <c r="M1217" t="s">
        <v>2279</v>
      </c>
      <c r="N1217" t="s">
        <v>2279</v>
      </c>
      <c r="O1217" s="190" t="str">
        <f>"["&amp;$C1217&amp;"]["&amp;$D1217&amp;"]["&amp;$F1217&amp;"]"</f>
        <v>[S08_NegativeOpinionActivityData][4][NumberOfInstallations]</v>
      </c>
    </row>
    <row r="1218" spans="1:15" x14ac:dyDescent="0.3">
      <c r="A1218" t="s">
        <v>2277</v>
      </c>
      <c r="B1218" t="s">
        <v>2092</v>
      </c>
      <c r="C1218" t="s">
        <v>2093</v>
      </c>
      <c r="D1218">
        <v>1</v>
      </c>
      <c r="E1218" t="s">
        <v>1447</v>
      </c>
      <c r="F1218" t="s">
        <v>2094</v>
      </c>
      <c r="G1218" t="s">
        <v>1748</v>
      </c>
      <c r="H1218" t="s">
        <v>2279</v>
      </c>
      <c r="I1218">
        <v>0</v>
      </c>
      <c r="J1218" t="s">
        <v>2279</v>
      </c>
      <c r="K1218" t="s">
        <v>2279</v>
      </c>
      <c r="L1218" t="s">
        <v>2279</v>
      </c>
      <c r="M1218" t="s">
        <v>2279</v>
      </c>
      <c r="N1218" t="s">
        <v>2279</v>
      </c>
      <c r="O1218" s="190" t="str">
        <f>"["&amp;$C1218&amp;"]["&amp;$D1218&amp;"]["&amp;$F1218&amp;"]"</f>
        <v>[S08_NegativeOpinionActivityData][1][NumberOfInstallationsConEst]</v>
      </c>
    </row>
    <row r="1219" spans="1:15" x14ac:dyDescent="0.3">
      <c r="A1219" t="s">
        <v>2277</v>
      </c>
      <c r="B1219" t="s">
        <v>2092</v>
      </c>
      <c r="C1219" t="s">
        <v>2093</v>
      </c>
      <c r="D1219">
        <v>2</v>
      </c>
      <c r="E1219" t="s">
        <v>1447</v>
      </c>
      <c r="F1219" t="s">
        <v>2094</v>
      </c>
      <c r="G1219" t="s">
        <v>1748</v>
      </c>
      <c r="H1219" t="s">
        <v>2279</v>
      </c>
      <c r="I1219">
        <v>0</v>
      </c>
      <c r="J1219" t="s">
        <v>2279</v>
      </c>
      <c r="K1219" t="s">
        <v>2279</v>
      </c>
      <c r="L1219" t="s">
        <v>2279</v>
      </c>
      <c r="M1219" t="s">
        <v>2279</v>
      </c>
      <c r="N1219" t="s">
        <v>2279</v>
      </c>
      <c r="O1219" s="190" t="str">
        <f>"["&amp;$C1219&amp;"]["&amp;$D1219&amp;"]["&amp;$F1219&amp;"]"</f>
        <v>[S08_NegativeOpinionActivityData][2][NumberOfInstallationsConEst]</v>
      </c>
    </row>
    <row r="1220" spans="1:15" x14ac:dyDescent="0.3">
      <c r="A1220" t="s">
        <v>2277</v>
      </c>
      <c r="B1220" t="s">
        <v>2092</v>
      </c>
      <c r="C1220" t="s">
        <v>2093</v>
      </c>
      <c r="D1220">
        <v>3</v>
      </c>
      <c r="E1220" t="s">
        <v>1447</v>
      </c>
      <c r="F1220" t="s">
        <v>2094</v>
      </c>
      <c r="G1220" t="s">
        <v>1748</v>
      </c>
      <c r="H1220" t="s">
        <v>2279</v>
      </c>
      <c r="I1220">
        <v>0</v>
      </c>
      <c r="J1220" t="s">
        <v>2279</v>
      </c>
      <c r="K1220" t="s">
        <v>2279</v>
      </c>
      <c r="L1220" t="s">
        <v>2279</v>
      </c>
      <c r="M1220" t="s">
        <v>2279</v>
      </c>
      <c r="N1220" t="s">
        <v>2279</v>
      </c>
      <c r="O1220" s="190" t="str">
        <f>"["&amp;$C1220&amp;"]["&amp;$D1220&amp;"]["&amp;$F1220&amp;"]"</f>
        <v>[S08_NegativeOpinionActivityData][3][NumberOfInstallationsConEst]</v>
      </c>
    </row>
    <row r="1221" spans="1:15" x14ac:dyDescent="0.3">
      <c r="A1221" t="s">
        <v>2277</v>
      </c>
      <c r="B1221" t="s">
        <v>2092</v>
      </c>
      <c r="C1221" t="s">
        <v>2093</v>
      </c>
      <c r="D1221">
        <v>4</v>
      </c>
      <c r="E1221" t="s">
        <v>1447</v>
      </c>
      <c r="F1221" t="s">
        <v>2094</v>
      </c>
      <c r="G1221" t="s">
        <v>1748</v>
      </c>
      <c r="H1221" t="s">
        <v>2279</v>
      </c>
      <c r="I1221">
        <v>0</v>
      </c>
      <c r="J1221" t="s">
        <v>2279</v>
      </c>
      <c r="K1221" t="s">
        <v>2279</v>
      </c>
      <c r="L1221" t="s">
        <v>2279</v>
      </c>
      <c r="M1221" t="s">
        <v>2279</v>
      </c>
      <c r="N1221" t="s">
        <v>2279</v>
      </c>
      <c r="O1221" s="190" t="str">
        <f>"["&amp;$C1221&amp;"]["&amp;$D1221&amp;"]["&amp;$F1221&amp;"]"</f>
        <v>[S08_NegativeOpinionActivityData][4][NumberOfInstallationsConEst]</v>
      </c>
    </row>
    <row r="1222" spans="1:15" x14ac:dyDescent="0.3">
      <c r="A1222" t="s">
        <v>2277</v>
      </c>
      <c r="B1222" t="s">
        <v>2092</v>
      </c>
      <c r="C1222" t="s">
        <v>2095</v>
      </c>
      <c r="D1222">
        <v>0</v>
      </c>
      <c r="E1222" t="s">
        <v>1447</v>
      </c>
      <c r="F1222" t="s">
        <v>2095</v>
      </c>
      <c r="G1222" t="s">
        <v>1759</v>
      </c>
      <c r="H1222" t="s">
        <v>2279</v>
      </c>
      <c r="I1222" t="s">
        <v>2279</v>
      </c>
      <c r="J1222" t="s">
        <v>2279</v>
      </c>
      <c r="K1222" t="s">
        <v>2279</v>
      </c>
      <c r="L1222" t="s">
        <v>1419</v>
      </c>
      <c r="M1222" t="s">
        <v>2279</v>
      </c>
      <c r="N1222" t="s">
        <v>2279</v>
      </c>
      <c r="O1222" s="190" t="str">
        <f>"["&amp;$C1222&amp;"]["&amp;$D1222&amp;"]["&amp;$F1222&amp;"]"</f>
        <v>[ActivityDataIssues][0][ActivityDataIssues]</v>
      </c>
    </row>
    <row r="1223" spans="1:15" x14ac:dyDescent="0.3">
      <c r="A1223" t="s">
        <v>2277</v>
      </c>
      <c r="B1223" t="s">
        <v>2096</v>
      </c>
      <c r="C1223" t="s">
        <v>2097</v>
      </c>
      <c r="D1223">
        <v>1</v>
      </c>
      <c r="E1223" t="s">
        <v>1447</v>
      </c>
      <c r="F1223" t="s">
        <v>1988</v>
      </c>
      <c r="G1223" t="s">
        <v>1737</v>
      </c>
      <c r="H1223" t="s">
        <v>2279</v>
      </c>
      <c r="I1223" t="s">
        <v>2279</v>
      </c>
      <c r="J1223" t="s">
        <v>2279</v>
      </c>
      <c r="K1223" t="s">
        <v>2279</v>
      </c>
      <c r="L1223" t="s">
        <v>1420</v>
      </c>
      <c r="M1223" t="s">
        <v>2279</v>
      </c>
      <c r="N1223" t="s">
        <v>2279</v>
      </c>
      <c r="O1223" s="190" t="str">
        <f>"["&amp;$C1223&amp;"]["&amp;$D1223&amp;"]["&amp;$F1223&amp;"]"</f>
        <v>[S08_ActivityDataIssuesDetail][1][AnnexIActivity]</v>
      </c>
    </row>
    <row r="1224" spans="1:15" x14ac:dyDescent="0.3">
      <c r="A1224" t="s">
        <v>2277</v>
      </c>
      <c r="B1224" t="s">
        <v>2096</v>
      </c>
      <c r="C1224" t="s">
        <v>2097</v>
      </c>
      <c r="D1224">
        <v>2</v>
      </c>
      <c r="E1224" t="s">
        <v>1447</v>
      </c>
      <c r="F1224" t="s">
        <v>1988</v>
      </c>
      <c r="G1224" t="s">
        <v>1737</v>
      </c>
      <c r="H1224" t="s">
        <v>2279</v>
      </c>
      <c r="I1224" t="s">
        <v>2279</v>
      </c>
      <c r="J1224" t="s">
        <v>2279</v>
      </c>
      <c r="K1224" t="s">
        <v>2279</v>
      </c>
      <c r="L1224" t="s">
        <v>1420</v>
      </c>
      <c r="M1224" t="s">
        <v>2279</v>
      </c>
      <c r="N1224" t="s">
        <v>2279</v>
      </c>
      <c r="O1224" s="190" t="str">
        <f>"["&amp;$C1224&amp;"]["&amp;$D1224&amp;"]["&amp;$F1224&amp;"]"</f>
        <v>[S08_ActivityDataIssuesDetail][2][AnnexIActivity]</v>
      </c>
    </row>
    <row r="1225" spans="1:15" x14ac:dyDescent="0.3">
      <c r="A1225" t="s">
        <v>2277</v>
      </c>
      <c r="B1225" t="s">
        <v>2096</v>
      </c>
      <c r="C1225" t="s">
        <v>2097</v>
      </c>
      <c r="D1225">
        <v>3</v>
      </c>
      <c r="E1225" t="s">
        <v>1447</v>
      </c>
      <c r="F1225" t="s">
        <v>1988</v>
      </c>
      <c r="G1225" t="s">
        <v>1737</v>
      </c>
      <c r="H1225" t="s">
        <v>2279</v>
      </c>
      <c r="I1225" t="s">
        <v>2279</v>
      </c>
      <c r="J1225" t="s">
        <v>2279</v>
      </c>
      <c r="K1225" t="s">
        <v>2279</v>
      </c>
      <c r="L1225" t="s">
        <v>1577</v>
      </c>
      <c r="M1225" t="s">
        <v>2279</v>
      </c>
      <c r="N1225" t="s">
        <v>2279</v>
      </c>
      <c r="O1225" s="190" t="str">
        <f>"["&amp;$C1225&amp;"]["&amp;$D1225&amp;"]["&amp;$F1225&amp;"]"</f>
        <v>[S08_ActivityDataIssuesDetail][3][AnnexIActivity]</v>
      </c>
    </row>
    <row r="1226" spans="1:15" x14ac:dyDescent="0.3">
      <c r="A1226" t="s">
        <v>2277</v>
      </c>
      <c r="B1226" t="s">
        <v>2096</v>
      </c>
      <c r="C1226" t="s">
        <v>2097</v>
      </c>
      <c r="D1226">
        <v>4</v>
      </c>
      <c r="E1226" t="s">
        <v>1447</v>
      </c>
      <c r="F1226" t="s">
        <v>1988</v>
      </c>
      <c r="G1226" t="s">
        <v>1737</v>
      </c>
      <c r="H1226" t="s">
        <v>2279</v>
      </c>
      <c r="I1226" t="s">
        <v>2279</v>
      </c>
      <c r="J1226" t="s">
        <v>2279</v>
      </c>
      <c r="K1226" t="s">
        <v>2279</v>
      </c>
      <c r="L1226" t="s">
        <v>1530</v>
      </c>
      <c r="M1226" t="s">
        <v>2279</v>
      </c>
      <c r="N1226" t="s">
        <v>2279</v>
      </c>
      <c r="O1226" s="190" t="str">
        <f>"["&amp;$C1226&amp;"]["&amp;$D1226&amp;"]["&amp;$F1226&amp;"]"</f>
        <v>[S08_ActivityDataIssuesDetail][4][AnnexIActivity]</v>
      </c>
    </row>
    <row r="1227" spans="1:15" x14ac:dyDescent="0.3">
      <c r="A1227" t="s">
        <v>2277</v>
      </c>
      <c r="B1227" t="s">
        <v>2096</v>
      </c>
      <c r="C1227" t="s">
        <v>2097</v>
      </c>
      <c r="D1227">
        <v>5</v>
      </c>
      <c r="E1227" t="s">
        <v>1447</v>
      </c>
      <c r="F1227" t="s">
        <v>1988</v>
      </c>
      <c r="G1227" t="s">
        <v>1737</v>
      </c>
      <c r="H1227" t="s">
        <v>2279</v>
      </c>
      <c r="I1227" t="s">
        <v>2279</v>
      </c>
      <c r="J1227" t="s">
        <v>2279</v>
      </c>
      <c r="K1227" t="s">
        <v>2279</v>
      </c>
      <c r="L1227" t="s">
        <v>1573</v>
      </c>
      <c r="M1227" t="s">
        <v>2279</v>
      </c>
      <c r="N1227" t="s">
        <v>2279</v>
      </c>
      <c r="O1227" s="190" t="str">
        <f>"["&amp;$C1227&amp;"]["&amp;$D1227&amp;"]["&amp;$F1227&amp;"]"</f>
        <v>[S08_ActivityDataIssuesDetail][5][AnnexIActivity]</v>
      </c>
    </row>
    <row r="1228" spans="1:15" x14ac:dyDescent="0.3">
      <c r="A1228" t="s">
        <v>2277</v>
      </c>
      <c r="B1228" t="s">
        <v>2096</v>
      </c>
      <c r="C1228" t="s">
        <v>2097</v>
      </c>
      <c r="D1228">
        <v>1</v>
      </c>
      <c r="E1228" t="s">
        <v>1447</v>
      </c>
      <c r="F1228" t="s">
        <v>1989</v>
      </c>
      <c r="G1228" t="s">
        <v>1737</v>
      </c>
      <c r="H1228" t="s">
        <v>2279</v>
      </c>
      <c r="I1228" t="s">
        <v>2279</v>
      </c>
      <c r="J1228" t="s">
        <v>2279</v>
      </c>
      <c r="K1228" t="s">
        <v>2279</v>
      </c>
      <c r="L1228" t="s">
        <v>1512</v>
      </c>
      <c r="M1228" t="s">
        <v>2279</v>
      </c>
      <c r="N1228" t="s">
        <v>2279</v>
      </c>
      <c r="O1228" s="190" t="str">
        <f>"["&amp;$C1228&amp;"]["&amp;$D1228&amp;"]["&amp;$F1228&amp;"]"</f>
        <v>[S08_ActivityDataIssuesDetail][1][TypeOfIssue]</v>
      </c>
    </row>
    <row r="1229" spans="1:15" x14ac:dyDescent="0.3">
      <c r="A1229" t="s">
        <v>2277</v>
      </c>
      <c r="B1229" t="s">
        <v>2096</v>
      </c>
      <c r="C1229" t="s">
        <v>2097</v>
      </c>
      <c r="D1229">
        <v>2</v>
      </c>
      <c r="E1229" t="s">
        <v>1447</v>
      </c>
      <c r="F1229" t="s">
        <v>1989</v>
      </c>
      <c r="G1229" t="s">
        <v>1737</v>
      </c>
      <c r="H1229" t="s">
        <v>2279</v>
      </c>
      <c r="I1229" t="s">
        <v>2279</v>
      </c>
      <c r="J1229" t="s">
        <v>2279</v>
      </c>
      <c r="K1229" t="s">
        <v>2279</v>
      </c>
      <c r="L1229" t="s">
        <v>1439</v>
      </c>
      <c r="M1229" t="s">
        <v>2279</v>
      </c>
      <c r="N1229" t="s">
        <v>2279</v>
      </c>
      <c r="O1229" s="190" t="str">
        <f>"["&amp;$C1229&amp;"]["&amp;$D1229&amp;"]["&amp;$F1229&amp;"]"</f>
        <v>[S08_ActivityDataIssuesDetail][2][TypeOfIssue]</v>
      </c>
    </row>
    <row r="1230" spans="1:15" x14ac:dyDescent="0.3">
      <c r="A1230" t="s">
        <v>2277</v>
      </c>
      <c r="B1230" t="s">
        <v>2096</v>
      </c>
      <c r="C1230" t="s">
        <v>2097</v>
      </c>
      <c r="D1230">
        <v>3</v>
      </c>
      <c r="E1230" t="s">
        <v>1447</v>
      </c>
      <c r="F1230" t="s">
        <v>1989</v>
      </c>
      <c r="G1230" t="s">
        <v>1737</v>
      </c>
      <c r="H1230" t="s">
        <v>2279</v>
      </c>
      <c r="I1230" t="s">
        <v>2279</v>
      </c>
      <c r="J1230" t="s">
        <v>2279</v>
      </c>
      <c r="K1230" t="s">
        <v>2279</v>
      </c>
      <c r="L1230" t="s">
        <v>1512</v>
      </c>
      <c r="M1230" t="s">
        <v>2279</v>
      </c>
      <c r="N1230" t="s">
        <v>2279</v>
      </c>
      <c r="O1230" s="190" t="str">
        <f>"["&amp;$C1230&amp;"]["&amp;$D1230&amp;"]["&amp;$F1230&amp;"]"</f>
        <v>[S08_ActivityDataIssuesDetail][3][TypeOfIssue]</v>
      </c>
    </row>
    <row r="1231" spans="1:15" x14ac:dyDescent="0.3">
      <c r="A1231" t="s">
        <v>2277</v>
      </c>
      <c r="B1231" t="s">
        <v>2096</v>
      </c>
      <c r="C1231" t="s">
        <v>2097</v>
      </c>
      <c r="D1231">
        <v>4</v>
      </c>
      <c r="E1231" t="s">
        <v>1447</v>
      </c>
      <c r="F1231" t="s">
        <v>1989</v>
      </c>
      <c r="G1231" t="s">
        <v>1737</v>
      </c>
      <c r="H1231" t="s">
        <v>2279</v>
      </c>
      <c r="I1231" t="s">
        <v>2279</v>
      </c>
      <c r="J1231" t="s">
        <v>2279</v>
      </c>
      <c r="K1231" t="s">
        <v>2279</v>
      </c>
      <c r="L1231" t="s">
        <v>1512</v>
      </c>
      <c r="M1231" t="s">
        <v>2279</v>
      </c>
      <c r="N1231" t="s">
        <v>2279</v>
      </c>
      <c r="O1231" s="190" t="str">
        <f>"["&amp;$C1231&amp;"]["&amp;$D1231&amp;"]["&amp;$F1231&amp;"]"</f>
        <v>[S08_ActivityDataIssuesDetail][4][TypeOfIssue]</v>
      </c>
    </row>
    <row r="1232" spans="1:15" x14ac:dyDescent="0.3">
      <c r="A1232" t="s">
        <v>2277</v>
      </c>
      <c r="B1232" t="s">
        <v>2096</v>
      </c>
      <c r="C1232" t="s">
        <v>2097</v>
      </c>
      <c r="D1232">
        <v>5</v>
      </c>
      <c r="E1232" t="s">
        <v>1447</v>
      </c>
      <c r="F1232" t="s">
        <v>1989</v>
      </c>
      <c r="G1232" t="s">
        <v>1737</v>
      </c>
      <c r="H1232" t="s">
        <v>2279</v>
      </c>
      <c r="I1232" t="s">
        <v>2279</v>
      </c>
      <c r="J1232" t="s">
        <v>2279</v>
      </c>
      <c r="K1232" t="s">
        <v>2279</v>
      </c>
      <c r="L1232" t="s">
        <v>1512</v>
      </c>
      <c r="M1232" t="s">
        <v>2279</v>
      </c>
      <c r="N1232" t="s">
        <v>2279</v>
      </c>
      <c r="O1232" s="190" t="str">
        <f>"["&amp;$C1232&amp;"]["&amp;$D1232&amp;"]["&amp;$F1232&amp;"]"</f>
        <v>[S08_ActivityDataIssuesDetail][5][TypeOfIssue]</v>
      </c>
    </row>
    <row r="1233" spans="1:15" x14ac:dyDescent="0.3">
      <c r="A1233" t="s">
        <v>2277</v>
      </c>
      <c r="B1233" t="s">
        <v>2096</v>
      </c>
      <c r="C1233" t="s">
        <v>2097</v>
      </c>
      <c r="D1233">
        <v>1</v>
      </c>
      <c r="E1233" t="s">
        <v>1447</v>
      </c>
      <c r="F1233" t="s">
        <v>1798</v>
      </c>
      <c r="G1233" t="s">
        <v>1748</v>
      </c>
      <c r="H1233" t="s">
        <v>2279</v>
      </c>
      <c r="I1233">
        <v>17</v>
      </c>
      <c r="J1233" t="s">
        <v>2279</v>
      </c>
      <c r="K1233" t="s">
        <v>2279</v>
      </c>
      <c r="L1233" t="s">
        <v>2279</v>
      </c>
      <c r="M1233" t="s">
        <v>2279</v>
      </c>
      <c r="N1233" t="s">
        <v>2279</v>
      </c>
      <c r="O1233" s="190" t="str">
        <f>"["&amp;$C1233&amp;"]["&amp;$D1233&amp;"]["&amp;$F1233&amp;"]"</f>
        <v>[S08_ActivityDataIssuesDetail][1][NumberOfInstallations]</v>
      </c>
    </row>
    <row r="1234" spans="1:15" x14ac:dyDescent="0.3">
      <c r="A1234" t="s">
        <v>2277</v>
      </c>
      <c r="B1234" t="s">
        <v>2096</v>
      </c>
      <c r="C1234" t="s">
        <v>2097</v>
      </c>
      <c r="D1234">
        <v>2</v>
      </c>
      <c r="E1234" t="s">
        <v>1447</v>
      </c>
      <c r="F1234" t="s">
        <v>1798</v>
      </c>
      <c r="G1234" t="s">
        <v>1748</v>
      </c>
      <c r="H1234" t="s">
        <v>2279</v>
      </c>
      <c r="I1234">
        <v>3</v>
      </c>
      <c r="J1234" t="s">
        <v>2279</v>
      </c>
      <c r="K1234" t="s">
        <v>2279</v>
      </c>
      <c r="L1234" t="s">
        <v>2279</v>
      </c>
      <c r="M1234" t="s">
        <v>2279</v>
      </c>
      <c r="N1234" t="s">
        <v>2279</v>
      </c>
      <c r="O1234" s="190" t="str">
        <f>"["&amp;$C1234&amp;"]["&amp;$D1234&amp;"]["&amp;$F1234&amp;"]"</f>
        <v>[S08_ActivityDataIssuesDetail][2][NumberOfInstallations]</v>
      </c>
    </row>
    <row r="1235" spans="1:15" x14ac:dyDescent="0.3">
      <c r="A1235" t="s">
        <v>2277</v>
      </c>
      <c r="B1235" t="s">
        <v>2096</v>
      </c>
      <c r="C1235" t="s">
        <v>2097</v>
      </c>
      <c r="D1235">
        <v>3</v>
      </c>
      <c r="E1235" t="s">
        <v>1447</v>
      </c>
      <c r="F1235" t="s">
        <v>1798</v>
      </c>
      <c r="G1235" t="s">
        <v>1748</v>
      </c>
      <c r="H1235" t="s">
        <v>2279</v>
      </c>
      <c r="I1235">
        <v>1</v>
      </c>
      <c r="J1235" t="s">
        <v>2279</v>
      </c>
      <c r="K1235" t="s">
        <v>2279</v>
      </c>
      <c r="L1235" t="s">
        <v>2279</v>
      </c>
      <c r="M1235" t="s">
        <v>2279</v>
      </c>
      <c r="N1235" t="s">
        <v>2279</v>
      </c>
      <c r="O1235" s="190" t="str">
        <f>"["&amp;$C1235&amp;"]["&amp;$D1235&amp;"]["&amp;$F1235&amp;"]"</f>
        <v>[S08_ActivityDataIssuesDetail][3][NumberOfInstallations]</v>
      </c>
    </row>
    <row r="1236" spans="1:15" x14ac:dyDescent="0.3">
      <c r="A1236" t="s">
        <v>2277</v>
      </c>
      <c r="B1236" t="s">
        <v>2096</v>
      </c>
      <c r="C1236" t="s">
        <v>2097</v>
      </c>
      <c r="D1236">
        <v>4</v>
      </c>
      <c r="E1236" t="s">
        <v>1447</v>
      </c>
      <c r="F1236" t="s">
        <v>1798</v>
      </c>
      <c r="G1236" t="s">
        <v>1748</v>
      </c>
      <c r="H1236" t="s">
        <v>2279</v>
      </c>
      <c r="I1236">
        <v>3</v>
      </c>
      <c r="J1236" t="s">
        <v>2279</v>
      </c>
      <c r="K1236" t="s">
        <v>2279</v>
      </c>
      <c r="L1236" t="s">
        <v>2279</v>
      </c>
      <c r="M1236" t="s">
        <v>2279</v>
      </c>
      <c r="N1236" t="s">
        <v>2279</v>
      </c>
      <c r="O1236" s="190" t="str">
        <f>"["&amp;$C1236&amp;"]["&amp;$D1236&amp;"]["&amp;$F1236&amp;"]"</f>
        <v>[S08_ActivityDataIssuesDetail][4][NumberOfInstallations]</v>
      </c>
    </row>
    <row r="1237" spans="1:15" x14ac:dyDescent="0.3">
      <c r="A1237" t="s">
        <v>2277</v>
      </c>
      <c r="B1237" t="s">
        <v>2096</v>
      </c>
      <c r="C1237" t="s">
        <v>2097</v>
      </c>
      <c r="D1237">
        <v>5</v>
      </c>
      <c r="E1237" t="s">
        <v>1447</v>
      </c>
      <c r="F1237" t="s">
        <v>1798</v>
      </c>
      <c r="G1237" t="s">
        <v>1748</v>
      </c>
      <c r="H1237" t="s">
        <v>2279</v>
      </c>
      <c r="I1237">
        <v>1</v>
      </c>
      <c r="J1237" t="s">
        <v>2279</v>
      </c>
      <c r="K1237" t="s">
        <v>2279</v>
      </c>
      <c r="L1237" t="s">
        <v>2279</v>
      </c>
      <c r="M1237" t="s">
        <v>2279</v>
      </c>
      <c r="N1237" t="s">
        <v>2279</v>
      </c>
      <c r="O1237" s="190" t="str">
        <f>"["&amp;$C1237&amp;"]["&amp;$D1237&amp;"]["&amp;$F1237&amp;"]"</f>
        <v>[S08_ActivityDataIssuesDetail][5][NumberOfInstallations]</v>
      </c>
    </row>
    <row r="1238" spans="1:15" x14ac:dyDescent="0.3">
      <c r="A1238" t="s">
        <v>2277</v>
      </c>
      <c r="B1238" t="s">
        <v>2096</v>
      </c>
      <c r="C1238" t="s">
        <v>2097</v>
      </c>
      <c r="D1238">
        <v>1</v>
      </c>
      <c r="E1238" t="s">
        <v>1447</v>
      </c>
      <c r="F1238" t="s">
        <v>1972</v>
      </c>
      <c r="G1238" t="s">
        <v>1748</v>
      </c>
      <c r="H1238" t="s">
        <v>2279</v>
      </c>
      <c r="I1238">
        <v>1</v>
      </c>
      <c r="J1238" t="s">
        <v>2279</v>
      </c>
      <c r="K1238" t="s">
        <v>2279</v>
      </c>
      <c r="L1238" t="s">
        <v>2279</v>
      </c>
      <c r="M1238" t="s">
        <v>2279</v>
      </c>
      <c r="N1238" t="s">
        <v>2279</v>
      </c>
      <c r="O1238" s="190" t="str">
        <f>"["&amp;$C1238&amp;"]["&amp;$D1238&amp;"]["&amp;$F1238&amp;"]"</f>
        <v>[S08_ActivityDataIssuesDetail][1][NumberOfIssues]</v>
      </c>
    </row>
    <row r="1239" spans="1:15" x14ac:dyDescent="0.3">
      <c r="A1239" t="s">
        <v>2277</v>
      </c>
      <c r="B1239" t="s">
        <v>2096</v>
      </c>
      <c r="C1239" t="s">
        <v>2097</v>
      </c>
      <c r="D1239">
        <v>2</v>
      </c>
      <c r="E1239" t="s">
        <v>1447</v>
      </c>
      <c r="F1239" t="s">
        <v>1972</v>
      </c>
      <c r="G1239" t="s">
        <v>1748</v>
      </c>
      <c r="H1239" t="s">
        <v>2279</v>
      </c>
      <c r="I1239">
        <v>1</v>
      </c>
      <c r="J1239" t="s">
        <v>2279</v>
      </c>
      <c r="K1239" t="s">
        <v>2279</v>
      </c>
      <c r="L1239" t="s">
        <v>2279</v>
      </c>
      <c r="M1239" t="s">
        <v>2279</v>
      </c>
      <c r="N1239" t="s">
        <v>2279</v>
      </c>
      <c r="O1239" s="190" t="str">
        <f>"["&amp;$C1239&amp;"]["&amp;$D1239&amp;"]["&amp;$F1239&amp;"]"</f>
        <v>[S08_ActivityDataIssuesDetail][2][NumberOfIssues]</v>
      </c>
    </row>
    <row r="1240" spans="1:15" x14ac:dyDescent="0.3">
      <c r="A1240" t="s">
        <v>2277</v>
      </c>
      <c r="B1240" t="s">
        <v>2096</v>
      </c>
      <c r="C1240" t="s">
        <v>2097</v>
      </c>
      <c r="D1240">
        <v>3</v>
      </c>
      <c r="E1240" t="s">
        <v>1447</v>
      </c>
      <c r="F1240" t="s">
        <v>1972</v>
      </c>
      <c r="G1240" t="s">
        <v>1748</v>
      </c>
      <c r="H1240" t="s">
        <v>2279</v>
      </c>
      <c r="I1240">
        <v>1</v>
      </c>
      <c r="J1240" t="s">
        <v>2279</v>
      </c>
      <c r="K1240" t="s">
        <v>2279</v>
      </c>
      <c r="L1240" t="s">
        <v>2279</v>
      </c>
      <c r="M1240" t="s">
        <v>2279</v>
      </c>
      <c r="N1240" t="s">
        <v>2279</v>
      </c>
      <c r="O1240" s="190" t="str">
        <f>"["&amp;$C1240&amp;"]["&amp;$D1240&amp;"]["&amp;$F1240&amp;"]"</f>
        <v>[S08_ActivityDataIssuesDetail][3][NumberOfIssues]</v>
      </c>
    </row>
    <row r="1241" spans="1:15" x14ac:dyDescent="0.3">
      <c r="A1241" t="s">
        <v>2277</v>
      </c>
      <c r="B1241" t="s">
        <v>2096</v>
      </c>
      <c r="C1241" t="s">
        <v>2097</v>
      </c>
      <c r="D1241">
        <v>4</v>
      </c>
      <c r="E1241" t="s">
        <v>1447</v>
      </c>
      <c r="F1241" t="s">
        <v>1972</v>
      </c>
      <c r="G1241" t="s">
        <v>1748</v>
      </c>
      <c r="H1241" t="s">
        <v>2279</v>
      </c>
      <c r="I1241">
        <v>1</v>
      </c>
      <c r="J1241" t="s">
        <v>2279</v>
      </c>
      <c r="K1241" t="s">
        <v>2279</v>
      </c>
      <c r="L1241" t="s">
        <v>2279</v>
      </c>
      <c r="M1241" t="s">
        <v>2279</v>
      </c>
      <c r="N1241" t="s">
        <v>2279</v>
      </c>
      <c r="O1241" s="190" t="str">
        <f>"["&amp;$C1241&amp;"]["&amp;$D1241&amp;"]["&amp;$F1241&amp;"]"</f>
        <v>[S08_ActivityDataIssuesDetail][4][NumberOfIssues]</v>
      </c>
    </row>
    <row r="1242" spans="1:15" x14ac:dyDescent="0.3">
      <c r="A1242" t="s">
        <v>2277</v>
      </c>
      <c r="B1242" t="s">
        <v>2096</v>
      </c>
      <c r="C1242" t="s">
        <v>2097</v>
      </c>
      <c r="D1242">
        <v>5</v>
      </c>
      <c r="E1242" t="s">
        <v>1447</v>
      </c>
      <c r="F1242" t="s">
        <v>1972</v>
      </c>
      <c r="G1242" t="s">
        <v>1748</v>
      </c>
      <c r="H1242" t="s">
        <v>2279</v>
      </c>
      <c r="I1242">
        <v>1</v>
      </c>
      <c r="J1242" t="s">
        <v>2279</v>
      </c>
      <c r="K1242" t="s">
        <v>2279</v>
      </c>
      <c r="L1242" t="s">
        <v>2279</v>
      </c>
      <c r="M1242" t="s">
        <v>2279</v>
      </c>
      <c r="N1242" t="s">
        <v>2279</v>
      </c>
      <c r="O1242" s="190" t="str">
        <f>"["&amp;$C1242&amp;"]["&amp;$D1242&amp;"]["&amp;$F1242&amp;"]"</f>
        <v>[S08_ActivityDataIssuesDetail][5][NumberOfIssues]</v>
      </c>
    </row>
    <row r="1243" spans="1:15" x14ac:dyDescent="0.3">
      <c r="A1243" t="s">
        <v>2277</v>
      </c>
      <c r="B1243" t="s">
        <v>2096</v>
      </c>
      <c r="C1243" t="s">
        <v>2097</v>
      </c>
      <c r="D1243">
        <v>1</v>
      </c>
      <c r="E1243" t="s">
        <v>1447</v>
      </c>
      <c r="F1243" t="s">
        <v>2094</v>
      </c>
      <c r="G1243" t="s">
        <v>1748</v>
      </c>
      <c r="H1243" t="s">
        <v>2279</v>
      </c>
      <c r="I1243">
        <v>0</v>
      </c>
      <c r="J1243" t="s">
        <v>2279</v>
      </c>
      <c r="K1243" t="s">
        <v>2279</v>
      </c>
      <c r="L1243" t="s">
        <v>2279</v>
      </c>
      <c r="M1243" t="s">
        <v>2279</v>
      </c>
      <c r="N1243" t="s">
        <v>2279</v>
      </c>
      <c r="O1243" s="190" t="str">
        <f>"["&amp;$C1243&amp;"]["&amp;$D1243&amp;"]["&amp;$F1243&amp;"]"</f>
        <v>[S08_ActivityDataIssuesDetail][1][NumberOfInstallationsConEst]</v>
      </c>
    </row>
    <row r="1244" spans="1:15" x14ac:dyDescent="0.3">
      <c r="A1244" t="s">
        <v>2277</v>
      </c>
      <c r="B1244" t="s">
        <v>2096</v>
      </c>
      <c r="C1244" t="s">
        <v>2097</v>
      </c>
      <c r="D1244">
        <v>2</v>
      </c>
      <c r="E1244" t="s">
        <v>1447</v>
      </c>
      <c r="F1244" t="s">
        <v>2094</v>
      </c>
      <c r="G1244" t="s">
        <v>1748</v>
      </c>
      <c r="H1244" t="s">
        <v>2279</v>
      </c>
      <c r="I1244">
        <v>0</v>
      </c>
      <c r="J1244" t="s">
        <v>2279</v>
      </c>
      <c r="K1244" t="s">
        <v>2279</v>
      </c>
      <c r="L1244" t="s">
        <v>2279</v>
      </c>
      <c r="M1244" t="s">
        <v>2279</v>
      </c>
      <c r="N1244" t="s">
        <v>2279</v>
      </c>
      <c r="O1244" s="190" t="str">
        <f>"["&amp;$C1244&amp;"]["&amp;$D1244&amp;"]["&amp;$F1244&amp;"]"</f>
        <v>[S08_ActivityDataIssuesDetail][2][NumberOfInstallationsConEst]</v>
      </c>
    </row>
    <row r="1245" spans="1:15" x14ac:dyDescent="0.3">
      <c r="A1245" t="s">
        <v>2277</v>
      </c>
      <c r="B1245" t="s">
        <v>2096</v>
      </c>
      <c r="C1245" t="s">
        <v>2097</v>
      </c>
      <c r="D1245">
        <v>3</v>
      </c>
      <c r="E1245" t="s">
        <v>1447</v>
      </c>
      <c r="F1245" t="s">
        <v>2094</v>
      </c>
      <c r="G1245" t="s">
        <v>1748</v>
      </c>
      <c r="H1245" t="s">
        <v>2279</v>
      </c>
      <c r="I1245">
        <v>0</v>
      </c>
      <c r="J1245" t="s">
        <v>2279</v>
      </c>
      <c r="K1245" t="s">
        <v>2279</v>
      </c>
      <c r="L1245" t="s">
        <v>2279</v>
      </c>
      <c r="M1245" t="s">
        <v>2279</v>
      </c>
      <c r="N1245" t="s">
        <v>2279</v>
      </c>
      <c r="O1245" s="190" t="str">
        <f>"["&amp;$C1245&amp;"]["&amp;$D1245&amp;"]["&amp;$F1245&amp;"]"</f>
        <v>[S08_ActivityDataIssuesDetail][3][NumberOfInstallationsConEst]</v>
      </c>
    </row>
    <row r="1246" spans="1:15" x14ac:dyDescent="0.3">
      <c r="A1246" t="s">
        <v>2277</v>
      </c>
      <c r="B1246" t="s">
        <v>2096</v>
      </c>
      <c r="C1246" t="s">
        <v>2097</v>
      </c>
      <c r="D1246">
        <v>4</v>
      </c>
      <c r="E1246" t="s">
        <v>1447</v>
      </c>
      <c r="F1246" t="s">
        <v>2094</v>
      </c>
      <c r="G1246" t="s">
        <v>1748</v>
      </c>
      <c r="H1246" t="s">
        <v>2279</v>
      </c>
      <c r="I1246">
        <v>0</v>
      </c>
      <c r="J1246" t="s">
        <v>2279</v>
      </c>
      <c r="K1246" t="s">
        <v>2279</v>
      </c>
      <c r="L1246" t="s">
        <v>2279</v>
      </c>
      <c r="M1246" t="s">
        <v>2279</v>
      </c>
      <c r="N1246" t="s">
        <v>2279</v>
      </c>
      <c r="O1246" s="190" t="str">
        <f>"["&amp;$C1246&amp;"]["&amp;$D1246&amp;"]["&amp;$F1246&amp;"]"</f>
        <v>[S08_ActivityDataIssuesDetail][4][NumberOfInstallationsConEst]</v>
      </c>
    </row>
    <row r="1247" spans="1:15" x14ac:dyDescent="0.3">
      <c r="A1247" t="s">
        <v>2277</v>
      </c>
      <c r="B1247" t="s">
        <v>2096</v>
      </c>
      <c r="C1247" t="s">
        <v>2097</v>
      </c>
      <c r="D1247">
        <v>5</v>
      </c>
      <c r="E1247" t="s">
        <v>1447</v>
      </c>
      <c r="F1247" t="s">
        <v>2094</v>
      </c>
      <c r="G1247" t="s">
        <v>1748</v>
      </c>
      <c r="H1247" t="s">
        <v>2279</v>
      </c>
      <c r="I1247">
        <v>1</v>
      </c>
      <c r="J1247" t="s">
        <v>2279</v>
      </c>
      <c r="K1247" t="s">
        <v>2279</v>
      </c>
      <c r="L1247" t="s">
        <v>2279</v>
      </c>
      <c r="M1247" t="s">
        <v>2279</v>
      </c>
      <c r="N1247" t="s">
        <v>2279</v>
      </c>
      <c r="O1247" s="190" t="str">
        <f>"["&amp;$C1247&amp;"]["&amp;$D1247&amp;"]["&amp;$F1247&amp;"]"</f>
        <v>[S08_ActivityDataIssuesDetail][5][NumberOfInstallationsConEst]</v>
      </c>
    </row>
    <row r="1248" spans="1:15" x14ac:dyDescent="0.3">
      <c r="A1248" t="s">
        <v>2277</v>
      </c>
      <c r="B1248" t="s">
        <v>2098</v>
      </c>
      <c r="C1248" t="s">
        <v>2099</v>
      </c>
      <c r="D1248">
        <v>0</v>
      </c>
      <c r="E1248" t="s">
        <v>1447</v>
      </c>
      <c r="F1248" t="s">
        <v>2099</v>
      </c>
      <c r="G1248" t="s">
        <v>1759</v>
      </c>
      <c r="H1248" t="s">
        <v>2279</v>
      </c>
      <c r="I1248" t="s">
        <v>2279</v>
      </c>
      <c r="J1248" t="s">
        <v>2279</v>
      </c>
      <c r="K1248" t="s">
        <v>2279</v>
      </c>
      <c r="L1248" t="s">
        <v>1447</v>
      </c>
      <c r="M1248" t="s">
        <v>2279</v>
      </c>
      <c r="N1248" t="s">
        <v>2279</v>
      </c>
      <c r="O1248" s="190" t="str">
        <f>"["&amp;$C1248&amp;"]["&amp;$D1248&amp;"]["&amp;$F1248&amp;"]"</f>
        <v>[ActivityReportRejected][0][ActivityReportRejected]</v>
      </c>
    </row>
    <row r="1249" spans="1:15" x14ac:dyDescent="0.3">
      <c r="A1249" t="s">
        <v>2277</v>
      </c>
      <c r="B1249" t="s">
        <v>2103</v>
      </c>
      <c r="C1249" t="s">
        <v>2104</v>
      </c>
      <c r="D1249">
        <v>0</v>
      </c>
      <c r="E1249" t="s">
        <v>1447</v>
      </c>
      <c r="F1249" t="s">
        <v>2104</v>
      </c>
      <c r="G1249" t="s">
        <v>1759</v>
      </c>
      <c r="H1249" t="s">
        <v>2279</v>
      </c>
      <c r="I1249" t="s">
        <v>2279</v>
      </c>
      <c r="J1249" t="s">
        <v>2279</v>
      </c>
      <c r="K1249" t="s">
        <v>2279</v>
      </c>
      <c r="L1249" t="s">
        <v>1447</v>
      </c>
      <c r="M1249" t="s">
        <v>2279</v>
      </c>
      <c r="N1249" t="s">
        <v>2279</v>
      </c>
      <c r="O1249" s="190" t="str">
        <f>"["&amp;$C1249&amp;"]["&amp;$D1249&amp;"]["&amp;$F1249&amp;"]"</f>
        <v>[ActivityLevelVisitsWaived][0][ActivityLevelVisitsWaived]</v>
      </c>
    </row>
    <row r="1250" spans="1:15" x14ac:dyDescent="0.3">
      <c r="A1250" t="s">
        <v>2277</v>
      </c>
      <c r="B1250" t="s">
        <v>2106</v>
      </c>
      <c r="C1250" t="s">
        <v>2107</v>
      </c>
      <c r="D1250">
        <v>0</v>
      </c>
      <c r="E1250" t="s">
        <v>1447</v>
      </c>
      <c r="F1250" t="s">
        <v>2107</v>
      </c>
      <c r="G1250" t="s">
        <v>1759</v>
      </c>
      <c r="H1250" t="s">
        <v>2279</v>
      </c>
      <c r="I1250" t="s">
        <v>2279</v>
      </c>
      <c r="J1250" t="s">
        <v>2279</v>
      </c>
      <c r="K1250" t="s">
        <v>2279</v>
      </c>
      <c r="L1250" t="s">
        <v>1447</v>
      </c>
      <c r="M1250" t="s">
        <v>2279</v>
      </c>
      <c r="N1250" t="s">
        <v>2279</v>
      </c>
      <c r="O1250" s="190" t="str">
        <f>"["&amp;$C1250&amp;"]["&amp;$D1250&amp;"]["&amp;$F1250&amp;"]"</f>
        <v>[VirtualVisitsActivityLevel][0][VirtualVisitsActivityLevel]</v>
      </c>
    </row>
    <row r="1251" spans="1:15" x14ac:dyDescent="0.3">
      <c r="A1251" t="s">
        <v>2277</v>
      </c>
      <c r="B1251" t="s">
        <v>2109</v>
      </c>
      <c r="C1251" t="s">
        <v>2110</v>
      </c>
      <c r="D1251">
        <v>1</v>
      </c>
      <c r="E1251" t="s">
        <v>1447</v>
      </c>
      <c r="F1251" t="s">
        <v>2111</v>
      </c>
      <c r="G1251" t="s">
        <v>1806</v>
      </c>
      <c r="H1251" t="s">
        <v>2279</v>
      </c>
      <c r="I1251" t="s">
        <v>2279</v>
      </c>
      <c r="J1251">
        <v>0</v>
      </c>
      <c r="K1251" t="s">
        <v>2279</v>
      </c>
      <c r="L1251" t="s">
        <v>2279</v>
      </c>
      <c r="M1251" t="s">
        <v>2279</v>
      </c>
      <c r="N1251" t="s">
        <v>2279</v>
      </c>
      <c r="O1251" s="190" t="str">
        <f>"["&amp;$C1251&amp;"]["&amp;$D1251&amp;"]["&amp;$F1251&amp;"]"</f>
        <v>[S08_PenaltiesAllocation][1][MinFine]</v>
      </c>
    </row>
    <row r="1252" spans="1:15" x14ac:dyDescent="0.3">
      <c r="A1252" t="s">
        <v>2277</v>
      </c>
      <c r="B1252" t="s">
        <v>2109</v>
      </c>
      <c r="C1252" t="s">
        <v>2110</v>
      </c>
      <c r="D1252">
        <v>2</v>
      </c>
      <c r="E1252" t="s">
        <v>1447</v>
      </c>
      <c r="F1252" t="s">
        <v>2111</v>
      </c>
      <c r="G1252" t="s">
        <v>1806</v>
      </c>
      <c r="H1252" t="s">
        <v>2279</v>
      </c>
      <c r="I1252" t="s">
        <v>2279</v>
      </c>
      <c r="J1252">
        <v>0</v>
      </c>
      <c r="K1252" t="s">
        <v>2279</v>
      </c>
      <c r="L1252" t="s">
        <v>2279</v>
      </c>
      <c r="M1252" t="s">
        <v>2279</v>
      </c>
      <c r="N1252" t="s">
        <v>2279</v>
      </c>
      <c r="O1252" s="190" t="str">
        <f>"["&amp;$C1252&amp;"]["&amp;$D1252&amp;"]["&amp;$F1252&amp;"]"</f>
        <v>[S08_PenaltiesAllocation][2][MinFine]</v>
      </c>
    </row>
    <row r="1253" spans="1:15" x14ac:dyDescent="0.3">
      <c r="A1253" t="s">
        <v>2277</v>
      </c>
      <c r="B1253" t="s">
        <v>2109</v>
      </c>
      <c r="C1253" t="s">
        <v>2110</v>
      </c>
      <c r="D1253">
        <v>3</v>
      </c>
      <c r="E1253" t="s">
        <v>1447</v>
      </c>
      <c r="F1253" t="s">
        <v>2111</v>
      </c>
      <c r="G1253" t="s">
        <v>1806</v>
      </c>
      <c r="H1253" t="s">
        <v>2279</v>
      </c>
      <c r="I1253" t="s">
        <v>2279</v>
      </c>
      <c r="J1253">
        <v>0</v>
      </c>
      <c r="K1253" t="s">
        <v>2279</v>
      </c>
      <c r="L1253" t="s">
        <v>2279</v>
      </c>
      <c r="M1253" t="s">
        <v>2279</v>
      </c>
      <c r="N1253" t="s">
        <v>2279</v>
      </c>
      <c r="O1253" s="190" t="str">
        <f>"["&amp;$C1253&amp;"]["&amp;$D1253&amp;"]["&amp;$F1253&amp;"]"</f>
        <v>[S08_PenaltiesAllocation][3][MinFine]</v>
      </c>
    </row>
    <row r="1254" spans="1:15" x14ac:dyDescent="0.3">
      <c r="A1254" t="s">
        <v>2277</v>
      </c>
      <c r="B1254" t="s">
        <v>2109</v>
      </c>
      <c r="C1254" t="s">
        <v>2110</v>
      </c>
      <c r="D1254">
        <v>4</v>
      </c>
      <c r="E1254" t="s">
        <v>1447</v>
      </c>
      <c r="F1254" t="s">
        <v>2111</v>
      </c>
      <c r="G1254" t="s">
        <v>1806</v>
      </c>
      <c r="H1254" t="s">
        <v>2279</v>
      </c>
      <c r="I1254" t="s">
        <v>2279</v>
      </c>
      <c r="J1254">
        <v>0</v>
      </c>
      <c r="K1254" t="s">
        <v>2279</v>
      </c>
      <c r="L1254" t="s">
        <v>2279</v>
      </c>
      <c r="M1254" t="s">
        <v>2279</v>
      </c>
      <c r="N1254" t="s">
        <v>2279</v>
      </c>
      <c r="O1254" s="190" t="str">
        <f>"["&amp;$C1254&amp;"]["&amp;$D1254&amp;"]["&amp;$F1254&amp;"]"</f>
        <v>[S08_PenaltiesAllocation][4][MinFine]</v>
      </c>
    </row>
    <row r="1255" spans="1:15" x14ac:dyDescent="0.3">
      <c r="A1255" t="s">
        <v>2277</v>
      </c>
      <c r="B1255" t="s">
        <v>2109</v>
      </c>
      <c r="C1255" t="s">
        <v>2110</v>
      </c>
      <c r="D1255">
        <v>1</v>
      </c>
      <c r="E1255" t="s">
        <v>1447</v>
      </c>
      <c r="F1255" t="s">
        <v>2112</v>
      </c>
      <c r="G1255" t="s">
        <v>1806</v>
      </c>
      <c r="H1255" t="s">
        <v>2279</v>
      </c>
      <c r="I1255" t="s">
        <v>2279</v>
      </c>
      <c r="J1255">
        <v>0</v>
      </c>
      <c r="K1255" t="s">
        <v>2279</v>
      </c>
      <c r="L1255" t="s">
        <v>2279</v>
      </c>
      <c r="M1255" t="s">
        <v>2279</v>
      </c>
      <c r="N1255" t="s">
        <v>2279</v>
      </c>
      <c r="O1255" s="190" t="str">
        <f>"["&amp;$C1255&amp;"]["&amp;$D1255&amp;"]["&amp;$F1255&amp;"]"</f>
        <v>[S08_PenaltiesAllocation][1][MaxFine]</v>
      </c>
    </row>
    <row r="1256" spans="1:15" x14ac:dyDescent="0.3">
      <c r="A1256" t="s">
        <v>2277</v>
      </c>
      <c r="B1256" t="s">
        <v>2109</v>
      </c>
      <c r="C1256" t="s">
        <v>2110</v>
      </c>
      <c r="D1256">
        <v>2</v>
      </c>
      <c r="E1256" t="s">
        <v>1447</v>
      </c>
      <c r="F1256" t="s">
        <v>2112</v>
      </c>
      <c r="G1256" t="s">
        <v>1806</v>
      </c>
      <c r="H1256" t="s">
        <v>2279</v>
      </c>
      <c r="I1256" t="s">
        <v>2279</v>
      </c>
      <c r="J1256">
        <v>800000</v>
      </c>
      <c r="K1256" t="s">
        <v>2279</v>
      </c>
      <c r="L1256" t="s">
        <v>2279</v>
      </c>
      <c r="M1256" t="s">
        <v>2279</v>
      </c>
      <c r="N1256" t="s">
        <v>2279</v>
      </c>
      <c r="O1256" s="190" t="str">
        <f>"["&amp;$C1256&amp;"]["&amp;$D1256&amp;"]["&amp;$F1256&amp;"]"</f>
        <v>[S08_PenaltiesAllocation][2][MaxFine]</v>
      </c>
    </row>
    <row r="1257" spans="1:15" x14ac:dyDescent="0.3">
      <c r="A1257" t="s">
        <v>2277</v>
      </c>
      <c r="B1257" t="s">
        <v>2109</v>
      </c>
      <c r="C1257" t="s">
        <v>2110</v>
      </c>
      <c r="D1257">
        <v>3</v>
      </c>
      <c r="E1257" t="s">
        <v>1447</v>
      </c>
      <c r="F1257" t="s">
        <v>2112</v>
      </c>
      <c r="G1257" t="s">
        <v>1806</v>
      </c>
      <c r="H1257" t="s">
        <v>2279</v>
      </c>
      <c r="I1257" t="s">
        <v>2279</v>
      </c>
      <c r="J1257">
        <v>0</v>
      </c>
      <c r="K1257" t="s">
        <v>2279</v>
      </c>
      <c r="L1257" t="s">
        <v>2279</v>
      </c>
      <c r="M1257" t="s">
        <v>2279</v>
      </c>
      <c r="N1257" t="s">
        <v>2279</v>
      </c>
      <c r="O1257" s="190" t="str">
        <f>"["&amp;$C1257&amp;"]["&amp;$D1257&amp;"]["&amp;$F1257&amp;"]"</f>
        <v>[S08_PenaltiesAllocation][3][MaxFine]</v>
      </c>
    </row>
    <row r="1258" spans="1:15" x14ac:dyDescent="0.3">
      <c r="A1258" t="s">
        <v>2277</v>
      </c>
      <c r="B1258" t="s">
        <v>2109</v>
      </c>
      <c r="C1258" t="s">
        <v>2110</v>
      </c>
      <c r="D1258">
        <v>4</v>
      </c>
      <c r="E1258" t="s">
        <v>1447</v>
      </c>
      <c r="F1258" t="s">
        <v>2112</v>
      </c>
      <c r="G1258" t="s">
        <v>1806</v>
      </c>
      <c r="H1258" t="s">
        <v>2279</v>
      </c>
      <c r="I1258" t="s">
        <v>2279</v>
      </c>
      <c r="J1258">
        <v>800000</v>
      </c>
      <c r="K1258" t="s">
        <v>2279</v>
      </c>
      <c r="L1258" t="s">
        <v>2279</v>
      </c>
      <c r="M1258" t="s">
        <v>2279</v>
      </c>
      <c r="N1258" t="s">
        <v>2279</v>
      </c>
      <c r="O1258" s="190" t="str">
        <f>"["&amp;$C1258&amp;"]["&amp;$D1258&amp;"]["&amp;$F1258&amp;"]"</f>
        <v>[S08_PenaltiesAllocation][4][MaxFine]</v>
      </c>
    </row>
    <row r="1259" spans="1:15" x14ac:dyDescent="0.3">
      <c r="A1259" t="s">
        <v>2277</v>
      </c>
      <c r="B1259" t="s">
        <v>2109</v>
      </c>
      <c r="C1259" t="s">
        <v>2110</v>
      </c>
      <c r="D1259">
        <v>1</v>
      </c>
      <c r="E1259" t="s">
        <v>1447</v>
      </c>
      <c r="F1259" t="s">
        <v>2113</v>
      </c>
      <c r="G1259" t="s">
        <v>1806</v>
      </c>
      <c r="H1259" t="s">
        <v>2279</v>
      </c>
      <c r="I1259" t="s">
        <v>2279</v>
      </c>
      <c r="J1259">
        <v>0</v>
      </c>
      <c r="K1259" t="s">
        <v>2279</v>
      </c>
      <c r="L1259" t="s">
        <v>2279</v>
      </c>
      <c r="M1259" t="s">
        <v>2279</v>
      </c>
      <c r="N1259" t="s">
        <v>2279</v>
      </c>
      <c r="O1259" s="190" t="str">
        <f>"["&amp;$C1259&amp;"]["&amp;$D1259&amp;"]["&amp;$F1259&amp;"]"</f>
        <v>[S08_PenaltiesAllocation][1][PrisonMin]</v>
      </c>
    </row>
    <row r="1260" spans="1:15" x14ac:dyDescent="0.3">
      <c r="A1260" t="s">
        <v>2277</v>
      </c>
      <c r="B1260" t="s">
        <v>2109</v>
      </c>
      <c r="C1260" t="s">
        <v>2110</v>
      </c>
      <c r="D1260">
        <v>2</v>
      </c>
      <c r="E1260" t="s">
        <v>1447</v>
      </c>
      <c r="F1260" t="s">
        <v>2113</v>
      </c>
      <c r="G1260" t="s">
        <v>1806</v>
      </c>
      <c r="H1260" t="s">
        <v>2279</v>
      </c>
      <c r="I1260" t="s">
        <v>2279</v>
      </c>
      <c r="J1260">
        <v>0</v>
      </c>
      <c r="K1260" t="s">
        <v>2279</v>
      </c>
      <c r="L1260" t="s">
        <v>2279</v>
      </c>
      <c r="M1260" t="s">
        <v>2279</v>
      </c>
      <c r="N1260" t="s">
        <v>2279</v>
      </c>
      <c r="O1260" s="190" t="str">
        <f>"["&amp;$C1260&amp;"]["&amp;$D1260&amp;"]["&amp;$F1260&amp;"]"</f>
        <v>[S08_PenaltiesAllocation][2][PrisonMin]</v>
      </c>
    </row>
    <row r="1261" spans="1:15" x14ac:dyDescent="0.3">
      <c r="A1261" t="s">
        <v>2277</v>
      </c>
      <c r="B1261" t="s">
        <v>2109</v>
      </c>
      <c r="C1261" t="s">
        <v>2110</v>
      </c>
      <c r="D1261">
        <v>3</v>
      </c>
      <c r="E1261" t="s">
        <v>1447</v>
      </c>
      <c r="F1261" t="s">
        <v>2113</v>
      </c>
      <c r="G1261" t="s">
        <v>1806</v>
      </c>
      <c r="H1261" t="s">
        <v>2279</v>
      </c>
      <c r="I1261" t="s">
        <v>2279</v>
      </c>
      <c r="J1261">
        <v>0</v>
      </c>
      <c r="K1261" t="s">
        <v>2279</v>
      </c>
      <c r="L1261" t="s">
        <v>2279</v>
      </c>
      <c r="M1261" t="s">
        <v>2279</v>
      </c>
      <c r="N1261" t="s">
        <v>2279</v>
      </c>
      <c r="O1261" s="190" t="str">
        <f>"["&amp;$C1261&amp;"]["&amp;$D1261&amp;"]["&amp;$F1261&amp;"]"</f>
        <v>[S08_PenaltiesAllocation][3][PrisonMin]</v>
      </c>
    </row>
    <row r="1262" spans="1:15" x14ac:dyDescent="0.3">
      <c r="A1262" t="s">
        <v>2277</v>
      </c>
      <c r="B1262" t="s">
        <v>2109</v>
      </c>
      <c r="C1262" t="s">
        <v>2110</v>
      </c>
      <c r="D1262">
        <v>4</v>
      </c>
      <c r="E1262" t="s">
        <v>1447</v>
      </c>
      <c r="F1262" t="s">
        <v>2113</v>
      </c>
      <c r="G1262" t="s">
        <v>1806</v>
      </c>
      <c r="H1262" t="s">
        <v>2279</v>
      </c>
      <c r="I1262" t="s">
        <v>2279</v>
      </c>
      <c r="J1262">
        <v>0</v>
      </c>
      <c r="K1262" t="s">
        <v>2279</v>
      </c>
      <c r="L1262" t="s">
        <v>2279</v>
      </c>
      <c r="M1262" t="s">
        <v>2279</v>
      </c>
      <c r="N1262" t="s">
        <v>2279</v>
      </c>
      <c r="O1262" s="190" t="str">
        <f>"["&amp;$C1262&amp;"]["&amp;$D1262&amp;"]["&amp;$F1262&amp;"]"</f>
        <v>[S08_PenaltiesAllocation][4][PrisonMin]</v>
      </c>
    </row>
    <row r="1263" spans="1:15" x14ac:dyDescent="0.3">
      <c r="A1263" t="s">
        <v>2277</v>
      </c>
      <c r="B1263" t="s">
        <v>2109</v>
      </c>
      <c r="C1263" t="s">
        <v>2110</v>
      </c>
      <c r="D1263">
        <v>1</v>
      </c>
      <c r="E1263" t="s">
        <v>1447</v>
      </c>
      <c r="F1263" t="s">
        <v>2114</v>
      </c>
      <c r="G1263" t="s">
        <v>1806</v>
      </c>
      <c r="H1263" t="s">
        <v>2279</v>
      </c>
      <c r="I1263" t="s">
        <v>2279</v>
      </c>
      <c r="J1263">
        <v>0</v>
      </c>
      <c r="K1263" t="s">
        <v>2279</v>
      </c>
      <c r="L1263" t="s">
        <v>2279</v>
      </c>
      <c r="M1263" t="s">
        <v>2279</v>
      </c>
      <c r="N1263" t="s">
        <v>2279</v>
      </c>
      <c r="O1263" s="190" t="str">
        <f>"["&amp;$C1263&amp;"]["&amp;$D1263&amp;"]["&amp;$F1263&amp;"]"</f>
        <v>[S08_PenaltiesAllocation][1][PrisonMax]</v>
      </c>
    </row>
    <row r="1264" spans="1:15" x14ac:dyDescent="0.3">
      <c r="A1264" t="s">
        <v>2277</v>
      </c>
      <c r="B1264" t="s">
        <v>2109</v>
      </c>
      <c r="C1264" t="s">
        <v>2110</v>
      </c>
      <c r="D1264">
        <v>2</v>
      </c>
      <c r="E1264" t="s">
        <v>1447</v>
      </c>
      <c r="F1264" t="s">
        <v>2114</v>
      </c>
      <c r="G1264" t="s">
        <v>1806</v>
      </c>
      <c r="H1264" t="s">
        <v>2279</v>
      </c>
      <c r="I1264" t="s">
        <v>2279</v>
      </c>
      <c r="J1264">
        <v>0</v>
      </c>
      <c r="K1264" t="s">
        <v>2279</v>
      </c>
      <c r="L1264" t="s">
        <v>2279</v>
      </c>
      <c r="M1264" t="s">
        <v>2279</v>
      </c>
      <c r="N1264" t="s">
        <v>2279</v>
      </c>
      <c r="O1264" s="190" t="str">
        <f>"["&amp;$C1264&amp;"]["&amp;$D1264&amp;"]["&amp;$F1264&amp;"]"</f>
        <v>[S08_PenaltiesAllocation][2][PrisonMax]</v>
      </c>
    </row>
    <row r="1265" spans="1:15" x14ac:dyDescent="0.3">
      <c r="A1265" t="s">
        <v>2277</v>
      </c>
      <c r="B1265" t="s">
        <v>2109</v>
      </c>
      <c r="C1265" t="s">
        <v>2110</v>
      </c>
      <c r="D1265">
        <v>3</v>
      </c>
      <c r="E1265" t="s">
        <v>1447</v>
      </c>
      <c r="F1265" t="s">
        <v>2114</v>
      </c>
      <c r="G1265" t="s">
        <v>1806</v>
      </c>
      <c r="H1265" t="s">
        <v>2279</v>
      </c>
      <c r="I1265" t="s">
        <v>2279</v>
      </c>
      <c r="J1265">
        <v>0</v>
      </c>
      <c r="K1265" t="s">
        <v>2279</v>
      </c>
      <c r="L1265" t="s">
        <v>2279</v>
      </c>
      <c r="M1265" t="s">
        <v>2279</v>
      </c>
      <c r="N1265" t="s">
        <v>2279</v>
      </c>
      <c r="O1265" s="190" t="str">
        <f>"["&amp;$C1265&amp;"]["&amp;$D1265&amp;"]["&amp;$F1265&amp;"]"</f>
        <v>[S08_PenaltiesAllocation][3][PrisonMax]</v>
      </c>
    </row>
    <row r="1266" spans="1:15" x14ac:dyDescent="0.3">
      <c r="A1266" t="s">
        <v>2277</v>
      </c>
      <c r="B1266" t="s">
        <v>2109</v>
      </c>
      <c r="C1266" t="s">
        <v>2110</v>
      </c>
      <c r="D1266">
        <v>4</v>
      </c>
      <c r="E1266" t="s">
        <v>1447</v>
      </c>
      <c r="F1266" t="s">
        <v>2114</v>
      </c>
      <c r="G1266" t="s">
        <v>1806</v>
      </c>
      <c r="H1266" t="s">
        <v>2279</v>
      </c>
      <c r="I1266" t="s">
        <v>2279</v>
      </c>
      <c r="J1266">
        <v>0</v>
      </c>
      <c r="K1266" t="s">
        <v>2279</v>
      </c>
      <c r="L1266" t="s">
        <v>2279</v>
      </c>
      <c r="M1266" t="s">
        <v>2279</v>
      </c>
      <c r="N1266" t="s">
        <v>2279</v>
      </c>
      <c r="O1266" s="190" t="str">
        <f>"["&amp;$C1266&amp;"]["&amp;$D1266&amp;"]["&amp;$F1266&amp;"]"</f>
        <v>[S08_PenaltiesAllocation][4][PrisonMax]</v>
      </c>
    </row>
    <row r="1267" spans="1:15" x14ac:dyDescent="0.3">
      <c r="A1267" t="s">
        <v>2277</v>
      </c>
      <c r="B1267" t="s">
        <v>2130</v>
      </c>
      <c r="C1267" t="s">
        <v>2131</v>
      </c>
      <c r="D1267">
        <v>0</v>
      </c>
      <c r="E1267" t="s">
        <v>1447</v>
      </c>
      <c r="F1267" t="s">
        <v>2131</v>
      </c>
      <c r="G1267" t="s">
        <v>1759</v>
      </c>
      <c r="H1267" t="s">
        <v>2279</v>
      </c>
      <c r="I1267" t="s">
        <v>2279</v>
      </c>
      <c r="J1267" t="s">
        <v>2279</v>
      </c>
      <c r="K1267" t="s">
        <v>2279</v>
      </c>
      <c r="L1267" t="s">
        <v>1419</v>
      </c>
      <c r="M1267" t="s">
        <v>2279</v>
      </c>
      <c r="N1267" t="s">
        <v>2279</v>
      </c>
      <c r="O1267" s="190" t="str">
        <f>"["&amp;$C1267&amp;"]["&amp;$D1267&amp;"]["&amp;$F1267&amp;"]"</f>
        <v>[InstallationOperatorFees][0][InstallationOperatorFees]</v>
      </c>
    </row>
    <row r="1268" spans="1:15" x14ac:dyDescent="0.3">
      <c r="A1268" t="s">
        <v>2277</v>
      </c>
      <c r="B1268" t="s">
        <v>2130</v>
      </c>
      <c r="C1268" t="s">
        <v>2132</v>
      </c>
      <c r="D1268">
        <v>1</v>
      </c>
      <c r="E1268" t="s">
        <v>1447</v>
      </c>
      <c r="F1268" t="s">
        <v>2133</v>
      </c>
      <c r="G1268" t="s">
        <v>1806</v>
      </c>
      <c r="H1268" t="s">
        <v>2279</v>
      </c>
      <c r="I1268" t="s">
        <v>2279</v>
      </c>
      <c r="J1268">
        <v>400</v>
      </c>
      <c r="K1268" t="s">
        <v>2279</v>
      </c>
      <c r="L1268" t="s">
        <v>2279</v>
      </c>
      <c r="M1268" t="s">
        <v>2279</v>
      </c>
      <c r="N1268" t="s">
        <v>2279</v>
      </c>
      <c r="O1268" s="190" t="str">
        <f>"["&amp;$C1268&amp;"]["&amp;$D1268&amp;"]["&amp;$F1268&amp;"]"</f>
        <v>[S09_InstallationOperatorFeesPermits][1][FeesAmount]</v>
      </c>
    </row>
    <row r="1269" spans="1:15" x14ac:dyDescent="0.3">
      <c r="A1269" t="s">
        <v>2277</v>
      </c>
      <c r="B1269" t="s">
        <v>2130</v>
      </c>
      <c r="C1269" t="s">
        <v>2132</v>
      </c>
      <c r="D1269">
        <v>2</v>
      </c>
      <c r="E1269" t="s">
        <v>1447</v>
      </c>
      <c r="F1269" t="s">
        <v>2133</v>
      </c>
      <c r="G1269" t="s">
        <v>1806</v>
      </c>
      <c r="H1269" t="s">
        <v>2279</v>
      </c>
      <c r="I1269" t="s">
        <v>2279</v>
      </c>
      <c r="J1269">
        <v>0</v>
      </c>
      <c r="K1269" t="s">
        <v>2279</v>
      </c>
      <c r="L1269" t="s">
        <v>2279</v>
      </c>
      <c r="M1269" t="s">
        <v>2279</v>
      </c>
      <c r="N1269" t="s">
        <v>2279</v>
      </c>
      <c r="O1269" s="190" t="str">
        <f>"["&amp;$C1269&amp;"]["&amp;$D1269&amp;"]["&amp;$F1269&amp;"]"</f>
        <v>[S09_InstallationOperatorFeesPermits][2][FeesAmount]</v>
      </c>
    </row>
    <row r="1270" spans="1:15" x14ac:dyDescent="0.3">
      <c r="A1270" t="s">
        <v>2277</v>
      </c>
      <c r="B1270" t="s">
        <v>2130</v>
      </c>
      <c r="C1270" t="s">
        <v>2132</v>
      </c>
      <c r="D1270">
        <v>3</v>
      </c>
      <c r="E1270" t="s">
        <v>1447</v>
      </c>
      <c r="F1270" t="s">
        <v>2133</v>
      </c>
      <c r="G1270" t="s">
        <v>1806</v>
      </c>
      <c r="H1270" t="s">
        <v>2279</v>
      </c>
      <c r="I1270" t="s">
        <v>2279</v>
      </c>
      <c r="J1270">
        <v>0</v>
      </c>
      <c r="K1270" t="s">
        <v>2279</v>
      </c>
      <c r="L1270" t="s">
        <v>2279</v>
      </c>
      <c r="M1270" t="s">
        <v>2279</v>
      </c>
      <c r="N1270" t="s">
        <v>2279</v>
      </c>
      <c r="O1270" s="190" t="str">
        <f>"["&amp;$C1270&amp;"]["&amp;$D1270&amp;"]["&amp;$F1270&amp;"]"</f>
        <v>[S09_InstallationOperatorFeesPermits][3][FeesAmount]</v>
      </c>
    </row>
    <row r="1271" spans="1:15" x14ac:dyDescent="0.3">
      <c r="A1271" t="s">
        <v>2277</v>
      </c>
      <c r="B1271" t="s">
        <v>2130</v>
      </c>
      <c r="C1271" t="s">
        <v>2132</v>
      </c>
      <c r="D1271">
        <v>4</v>
      </c>
      <c r="E1271" t="s">
        <v>1447</v>
      </c>
      <c r="F1271" t="s">
        <v>2133</v>
      </c>
      <c r="G1271" t="s">
        <v>1806</v>
      </c>
      <c r="H1271" t="s">
        <v>2279</v>
      </c>
      <c r="I1271" t="s">
        <v>2279</v>
      </c>
      <c r="J1271">
        <v>0</v>
      </c>
      <c r="K1271" t="s">
        <v>2279</v>
      </c>
      <c r="L1271" t="s">
        <v>2279</v>
      </c>
      <c r="M1271" t="s">
        <v>2279</v>
      </c>
      <c r="N1271" t="s">
        <v>2279</v>
      </c>
      <c r="O1271" s="190" t="str">
        <f>"["&amp;$C1271&amp;"]["&amp;$D1271&amp;"]["&amp;$F1271&amp;"]"</f>
        <v>[S09_InstallationOperatorFeesPermits][4][FeesAmount]</v>
      </c>
    </row>
    <row r="1272" spans="1:15" x14ac:dyDescent="0.3">
      <c r="A1272" t="s">
        <v>2277</v>
      </c>
      <c r="B1272" t="s">
        <v>2130</v>
      </c>
      <c r="C1272" t="s">
        <v>2132</v>
      </c>
      <c r="D1272">
        <v>5</v>
      </c>
      <c r="E1272" t="s">
        <v>1447</v>
      </c>
      <c r="F1272" t="s">
        <v>2133</v>
      </c>
      <c r="G1272" t="s">
        <v>1806</v>
      </c>
      <c r="H1272" t="s">
        <v>2279</v>
      </c>
      <c r="I1272" t="s">
        <v>2279</v>
      </c>
      <c r="J1272">
        <v>0</v>
      </c>
      <c r="K1272" t="s">
        <v>2279</v>
      </c>
      <c r="L1272" t="s">
        <v>2279</v>
      </c>
      <c r="M1272" t="s">
        <v>2279</v>
      </c>
      <c r="N1272" t="s">
        <v>2279</v>
      </c>
      <c r="O1272" s="190" t="str">
        <f>"["&amp;$C1272&amp;"]["&amp;$D1272&amp;"]["&amp;$F1272&amp;"]"</f>
        <v>[S09_InstallationOperatorFeesPermits][5][FeesAmount]</v>
      </c>
    </row>
    <row r="1273" spans="1:15" x14ac:dyDescent="0.3">
      <c r="A1273" t="s">
        <v>2277</v>
      </c>
      <c r="B1273" t="s">
        <v>2136</v>
      </c>
      <c r="C1273" t="s">
        <v>2137</v>
      </c>
      <c r="D1273">
        <v>0</v>
      </c>
      <c r="E1273" t="s">
        <v>1447</v>
      </c>
      <c r="F1273" t="s">
        <v>2137</v>
      </c>
      <c r="G1273" t="s">
        <v>1759</v>
      </c>
      <c r="H1273" t="s">
        <v>2279</v>
      </c>
      <c r="I1273" t="s">
        <v>2279</v>
      </c>
      <c r="J1273" t="s">
        <v>2279</v>
      </c>
      <c r="K1273" t="s">
        <v>2279</v>
      </c>
      <c r="L1273" t="s">
        <v>1447</v>
      </c>
      <c r="M1273" t="s">
        <v>2279</v>
      </c>
      <c r="N1273" t="s">
        <v>2279</v>
      </c>
      <c r="O1273" s="190" t="str">
        <f>"["&amp;$C1273&amp;"]["&amp;$D1273&amp;"]["&amp;$F1273&amp;"]"</f>
        <v>[AircraftOperatorFees][0][AircraftOperatorFees]</v>
      </c>
    </row>
    <row r="1274" spans="1:15" x14ac:dyDescent="0.3">
      <c r="A1274" t="s">
        <v>2277</v>
      </c>
      <c r="B1274" t="s">
        <v>2136</v>
      </c>
      <c r="C1274" t="s">
        <v>2138</v>
      </c>
      <c r="D1274">
        <v>1</v>
      </c>
      <c r="E1274" t="s">
        <v>1447</v>
      </c>
      <c r="F1274" t="s">
        <v>2133</v>
      </c>
      <c r="G1274" t="s">
        <v>1806</v>
      </c>
      <c r="H1274" t="s">
        <v>2279</v>
      </c>
      <c r="I1274" t="s">
        <v>2279</v>
      </c>
      <c r="J1274">
        <v>0</v>
      </c>
      <c r="K1274" t="s">
        <v>2279</v>
      </c>
      <c r="L1274" t="s">
        <v>2279</v>
      </c>
      <c r="M1274" t="s">
        <v>2279</v>
      </c>
      <c r="N1274" t="s">
        <v>2279</v>
      </c>
      <c r="O1274" s="190" t="str">
        <f>"["&amp;$C1274&amp;"]["&amp;$D1274&amp;"]["&amp;$F1274&amp;"]"</f>
        <v>[S09_AircraftOperatorFeesMonitoringPlans][1][FeesAmount]</v>
      </c>
    </row>
    <row r="1275" spans="1:15" x14ac:dyDescent="0.3">
      <c r="A1275" t="s">
        <v>2277</v>
      </c>
      <c r="B1275" t="s">
        <v>2136</v>
      </c>
      <c r="C1275" t="s">
        <v>2138</v>
      </c>
      <c r="D1275">
        <v>2</v>
      </c>
      <c r="E1275" t="s">
        <v>1447</v>
      </c>
      <c r="F1275" t="s">
        <v>2133</v>
      </c>
      <c r="G1275" t="s">
        <v>1806</v>
      </c>
      <c r="H1275" t="s">
        <v>2279</v>
      </c>
      <c r="I1275" t="s">
        <v>2279</v>
      </c>
      <c r="J1275">
        <v>0</v>
      </c>
      <c r="K1275" t="s">
        <v>2279</v>
      </c>
      <c r="L1275" t="s">
        <v>2279</v>
      </c>
      <c r="M1275" t="s">
        <v>2279</v>
      </c>
      <c r="N1275" t="s">
        <v>2279</v>
      </c>
      <c r="O1275" s="190" t="str">
        <f>"["&amp;$C1275&amp;"]["&amp;$D1275&amp;"]["&amp;$F1275&amp;"]"</f>
        <v>[S09_AircraftOperatorFeesMonitoringPlans][2][FeesAmount]</v>
      </c>
    </row>
    <row r="1276" spans="1:15" x14ac:dyDescent="0.3">
      <c r="A1276" t="s">
        <v>2277</v>
      </c>
      <c r="B1276" t="s">
        <v>2136</v>
      </c>
      <c r="C1276" t="s">
        <v>2138</v>
      </c>
      <c r="D1276">
        <v>3</v>
      </c>
      <c r="E1276" t="s">
        <v>1447</v>
      </c>
      <c r="F1276" t="s">
        <v>2133</v>
      </c>
      <c r="G1276" t="s">
        <v>1806</v>
      </c>
      <c r="H1276" t="s">
        <v>2279</v>
      </c>
      <c r="I1276" t="s">
        <v>2279</v>
      </c>
      <c r="J1276">
        <v>0</v>
      </c>
      <c r="K1276" t="s">
        <v>2279</v>
      </c>
      <c r="L1276" t="s">
        <v>2279</v>
      </c>
      <c r="M1276" t="s">
        <v>2279</v>
      </c>
      <c r="N1276" t="s">
        <v>2279</v>
      </c>
      <c r="O1276" s="190" t="str">
        <f>"["&amp;$C1276&amp;"]["&amp;$D1276&amp;"]["&amp;$F1276&amp;"]"</f>
        <v>[S09_AircraftOperatorFeesMonitoringPlans][3][FeesAmount]</v>
      </c>
    </row>
    <row r="1277" spans="1:15" x14ac:dyDescent="0.3">
      <c r="A1277" t="s">
        <v>2277</v>
      </c>
      <c r="B1277" t="s">
        <v>2136</v>
      </c>
      <c r="C1277" t="s">
        <v>2138</v>
      </c>
      <c r="D1277">
        <v>4</v>
      </c>
      <c r="E1277" t="s">
        <v>1447</v>
      </c>
      <c r="F1277" t="s">
        <v>2133</v>
      </c>
      <c r="G1277" t="s">
        <v>1806</v>
      </c>
      <c r="H1277" t="s">
        <v>2279</v>
      </c>
      <c r="I1277" t="s">
        <v>2279</v>
      </c>
      <c r="J1277">
        <v>0</v>
      </c>
      <c r="K1277" t="s">
        <v>2279</v>
      </c>
      <c r="L1277" t="s">
        <v>2279</v>
      </c>
      <c r="M1277" t="s">
        <v>2279</v>
      </c>
      <c r="N1277" t="s">
        <v>2279</v>
      </c>
      <c r="O1277" s="190" t="str">
        <f>"["&amp;$C1277&amp;"]["&amp;$D1277&amp;"]["&amp;$F1277&amp;"]"</f>
        <v>[S09_AircraftOperatorFeesMonitoringPlans][4][FeesAmount]</v>
      </c>
    </row>
    <row r="1278" spans="1:15" x14ac:dyDescent="0.3">
      <c r="A1278" t="s">
        <v>2277</v>
      </c>
      <c r="B1278" t="s">
        <v>2136</v>
      </c>
      <c r="C1278" t="s">
        <v>2138</v>
      </c>
      <c r="D1278">
        <v>5</v>
      </c>
      <c r="E1278" t="s">
        <v>1447</v>
      </c>
      <c r="F1278" t="s">
        <v>2133</v>
      </c>
      <c r="G1278" t="s">
        <v>1806</v>
      </c>
      <c r="H1278" t="s">
        <v>2279</v>
      </c>
      <c r="I1278" t="s">
        <v>2279</v>
      </c>
      <c r="J1278">
        <v>0</v>
      </c>
      <c r="K1278" t="s">
        <v>2279</v>
      </c>
      <c r="L1278" t="s">
        <v>2279</v>
      </c>
      <c r="M1278" t="s">
        <v>2279</v>
      </c>
      <c r="N1278" t="s">
        <v>2279</v>
      </c>
      <c r="O1278" s="190" t="str">
        <f>"["&amp;$C1278&amp;"]["&amp;$D1278&amp;"]["&amp;$F1278&amp;"]"</f>
        <v>[S09_AircraftOperatorFeesMonitoringPlans][5][FeesAmount]</v>
      </c>
    </row>
    <row r="1279" spans="1:15" x14ac:dyDescent="0.3">
      <c r="A1279" t="s">
        <v>2277</v>
      </c>
      <c r="B1279" t="s">
        <v>2136</v>
      </c>
      <c r="C1279" t="s">
        <v>2138</v>
      </c>
      <c r="D1279">
        <v>6</v>
      </c>
      <c r="E1279" t="s">
        <v>1447</v>
      </c>
      <c r="F1279" t="s">
        <v>2133</v>
      </c>
      <c r="G1279" t="s">
        <v>1806</v>
      </c>
      <c r="H1279" t="s">
        <v>2279</v>
      </c>
      <c r="I1279" t="s">
        <v>2279</v>
      </c>
      <c r="J1279">
        <v>0</v>
      </c>
      <c r="K1279" t="s">
        <v>2279</v>
      </c>
      <c r="L1279" t="s">
        <v>2279</v>
      </c>
      <c r="M1279" t="s">
        <v>2279</v>
      </c>
      <c r="N1279" t="s">
        <v>2279</v>
      </c>
      <c r="O1279" s="190" t="str">
        <f>"["&amp;$C1279&amp;"]["&amp;$D1279&amp;"]["&amp;$F1279&amp;"]"</f>
        <v>[S09_AircraftOperatorFeesMonitoringPlans][6][FeesAmount]</v>
      </c>
    </row>
    <row r="1280" spans="1:15" x14ac:dyDescent="0.3">
      <c r="A1280" t="s">
        <v>2277</v>
      </c>
      <c r="B1280" t="s">
        <v>2136</v>
      </c>
      <c r="C1280" t="s">
        <v>2140</v>
      </c>
      <c r="D1280">
        <v>1</v>
      </c>
      <c r="E1280" t="s">
        <v>1447</v>
      </c>
      <c r="F1280" t="s">
        <v>2141</v>
      </c>
      <c r="G1280" t="s">
        <v>1741</v>
      </c>
      <c r="H1280" t="s">
        <v>2399</v>
      </c>
      <c r="I1280" t="s">
        <v>2279</v>
      </c>
      <c r="J1280" t="s">
        <v>2279</v>
      </c>
      <c r="K1280" t="s">
        <v>2279</v>
      </c>
      <c r="L1280" t="s">
        <v>2279</v>
      </c>
      <c r="M1280" t="s">
        <v>2279</v>
      </c>
      <c r="N1280" t="s">
        <v>2279</v>
      </c>
      <c r="O1280" s="190" t="str">
        <f>"["&amp;$C1280&amp;"]["&amp;$D1280&amp;"]["&amp;$F1280&amp;"]"</f>
        <v>[S09_RegistryAccountOneOffFees][1][OneOffFeeReason]</v>
      </c>
    </row>
    <row r="1281" spans="1:15" x14ac:dyDescent="0.3">
      <c r="A1281" t="s">
        <v>2277</v>
      </c>
      <c r="B1281" t="s">
        <v>2136</v>
      </c>
      <c r="C1281" t="s">
        <v>2140</v>
      </c>
      <c r="D1281">
        <v>1</v>
      </c>
      <c r="E1281" t="s">
        <v>1447</v>
      </c>
      <c r="F1281" t="s">
        <v>2142</v>
      </c>
      <c r="G1281" t="s">
        <v>1806</v>
      </c>
      <c r="H1281" t="s">
        <v>2279</v>
      </c>
      <c r="I1281" t="s">
        <v>2279</v>
      </c>
      <c r="J1281">
        <v>46.5</v>
      </c>
      <c r="K1281" t="s">
        <v>2279</v>
      </c>
      <c r="L1281" t="s">
        <v>2279</v>
      </c>
      <c r="M1281" t="s">
        <v>2279</v>
      </c>
      <c r="N1281" t="s">
        <v>2279</v>
      </c>
      <c r="O1281" s="190" t="str">
        <f>"["&amp;$C1281&amp;"]["&amp;$D1281&amp;"]["&amp;$F1281&amp;"]"</f>
        <v>[S09_RegistryAccountOneOffFees][1][OneOffFeeAmount]</v>
      </c>
    </row>
    <row r="1282" spans="1:15" x14ac:dyDescent="0.3">
      <c r="A1282" t="s">
        <v>2277</v>
      </c>
      <c r="B1282" t="s">
        <v>2136</v>
      </c>
      <c r="C1282" t="s">
        <v>2143</v>
      </c>
      <c r="D1282">
        <v>1</v>
      </c>
      <c r="E1282" t="s">
        <v>1447</v>
      </c>
      <c r="F1282" t="s">
        <v>2144</v>
      </c>
      <c r="G1282" t="s">
        <v>1741</v>
      </c>
      <c r="H1282" t="s">
        <v>2400</v>
      </c>
      <c r="I1282" t="s">
        <v>2279</v>
      </c>
      <c r="J1282" t="s">
        <v>2279</v>
      </c>
      <c r="K1282" t="s">
        <v>2279</v>
      </c>
      <c r="L1282" t="s">
        <v>2279</v>
      </c>
      <c r="M1282" t="s">
        <v>2279</v>
      </c>
      <c r="N1282" t="s">
        <v>2279</v>
      </c>
      <c r="O1282" s="190" t="str">
        <f>"["&amp;$C1282&amp;"]["&amp;$D1282&amp;"]["&amp;$F1282&amp;"]"</f>
        <v>[S09_RegistryAccountAnnualFees][1][AnnualFeeReason]</v>
      </c>
    </row>
    <row r="1283" spans="1:15" x14ac:dyDescent="0.3">
      <c r="A1283" t="s">
        <v>2277</v>
      </c>
      <c r="B1283" t="s">
        <v>2136</v>
      </c>
      <c r="C1283" t="s">
        <v>2143</v>
      </c>
      <c r="D1283">
        <v>2</v>
      </c>
      <c r="E1283" t="s">
        <v>1447</v>
      </c>
      <c r="F1283" t="s">
        <v>2144</v>
      </c>
      <c r="G1283" t="s">
        <v>1741</v>
      </c>
      <c r="H1283" t="s">
        <v>2401</v>
      </c>
      <c r="I1283" t="s">
        <v>2279</v>
      </c>
      <c r="J1283" t="s">
        <v>2279</v>
      </c>
      <c r="K1283" t="s">
        <v>2279</v>
      </c>
      <c r="L1283" t="s">
        <v>2279</v>
      </c>
      <c r="M1283" t="s">
        <v>2279</v>
      </c>
      <c r="N1283" t="s">
        <v>2279</v>
      </c>
      <c r="O1283" s="190" t="str">
        <f>"["&amp;$C1283&amp;"]["&amp;$D1283&amp;"]["&amp;$F1283&amp;"]"</f>
        <v>[S09_RegistryAccountAnnualFees][2][AnnualFeeReason]</v>
      </c>
    </row>
    <row r="1284" spans="1:15" x14ac:dyDescent="0.3">
      <c r="A1284" t="s">
        <v>2277</v>
      </c>
      <c r="B1284" t="s">
        <v>2136</v>
      </c>
      <c r="C1284" t="s">
        <v>2143</v>
      </c>
      <c r="D1284">
        <v>1</v>
      </c>
      <c r="E1284" t="s">
        <v>1447</v>
      </c>
      <c r="F1284" t="s">
        <v>2145</v>
      </c>
      <c r="G1284" t="s">
        <v>1806</v>
      </c>
      <c r="H1284" t="s">
        <v>2279</v>
      </c>
      <c r="I1284" t="s">
        <v>2279</v>
      </c>
      <c r="J1284">
        <v>93</v>
      </c>
      <c r="K1284" t="s">
        <v>2279</v>
      </c>
      <c r="L1284" t="s">
        <v>2279</v>
      </c>
      <c r="M1284" t="s">
        <v>2279</v>
      </c>
      <c r="N1284" t="s">
        <v>2279</v>
      </c>
      <c r="O1284" s="190" t="str">
        <f>"["&amp;$C1284&amp;"]["&amp;$D1284&amp;"]["&amp;$F1284&amp;"]"</f>
        <v>[S09_RegistryAccountAnnualFees][1][AnnualFeeAmount]</v>
      </c>
    </row>
    <row r="1285" spans="1:15" x14ac:dyDescent="0.3">
      <c r="A1285" t="s">
        <v>2277</v>
      </c>
      <c r="B1285" t="s">
        <v>2136</v>
      </c>
      <c r="C1285" t="s">
        <v>2143</v>
      </c>
      <c r="D1285">
        <v>2</v>
      </c>
      <c r="E1285" t="s">
        <v>1447</v>
      </c>
      <c r="F1285" t="s">
        <v>2145</v>
      </c>
      <c r="G1285" t="s">
        <v>1806</v>
      </c>
      <c r="H1285" t="s">
        <v>2279</v>
      </c>
      <c r="I1285" t="s">
        <v>2279</v>
      </c>
      <c r="J1285">
        <v>4.3E-3</v>
      </c>
      <c r="K1285" t="s">
        <v>2279</v>
      </c>
      <c r="L1285" t="s">
        <v>2279</v>
      </c>
      <c r="M1285" t="s">
        <v>2279</v>
      </c>
      <c r="N1285" t="s">
        <v>2279</v>
      </c>
      <c r="O1285" s="190" t="str">
        <f>"["&amp;$C1285&amp;"]["&amp;$D1285&amp;"]["&amp;$F1285&amp;"]"</f>
        <v>[S09_RegistryAccountAnnualFees][2][AnnualFeeAmount]</v>
      </c>
    </row>
    <row r="1286" spans="1:15" x14ac:dyDescent="0.3">
      <c r="A1286" t="s">
        <v>2277</v>
      </c>
      <c r="B1286" t="s">
        <v>2146</v>
      </c>
      <c r="C1286" t="s">
        <v>2147</v>
      </c>
      <c r="D1286">
        <v>1</v>
      </c>
      <c r="E1286" t="s">
        <v>1447</v>
      </c>
      <c r="F1286" t="s">
        <v>2148</v>
      </c>
      <c r="G1286" t="s">
        <v>1759</v>
      </c>
      <c r="H1286" t="s">
        <v>2279</v>
      </c>
      <c r="I1286" t="s">
        <v>2279</v>
      </c>
      <c r="J1286" t="s">
        <v>2279</v>
      </c>
      <c r="K1286" t="s">
        <v>2279</v>
      </c>
      <c r="L1286" t="s">
        <v>1447</v>
      </c>
      <c r="M1286" t="s">
        <v>2279</v>
      </c>
      <c r="N1286" t="s">
        <v>2279</v>
      </c>
      <c r="O1286" s="190" t="str">
        <f>"["&amp;$C1286&amp;"]["&amp;$D1286&amp;"]["&amp;$F1286&amp;"]"</f>
        <v>[S10_InstallationsComplianceMeasures][1][ComplianceMeasuresYesNo]</v>
      </c>
    </row>
    <row r="1287" spans="1:15" x14ac:dyDescent="0.3">
      <c r="A1287" t="s">
        <v>2277</v>
      </c>
      <c r="B1287" t="s">
        <v>2146</v>
      </c>
      <c r="C1287" t="s">
        <v>2147</v>
      </c>
      <c r="D1287">
        <v>2</v>
      </c>
      <c r="E1287" t="s">
        <v>1447</v>
      </c>
      <c r="F1287" t="s">
        <v>2148</v>
      </c>
      <c r="G1287" t="s">
        <v>1759</v>
      </c>
      <c r="H1287" t="s">
        <v>2279</v>
      </c>
      <c r="I1287" t="s">
        <v>2279</v>
      </c>
      <c r="J1287" t="s">
        <v>2279</v>
      </c>
      <c r="K1287" t="s">
        <v>2279</v>
      </c>
      <c r="L1287" t="s">
        <v>1419</v>
      </c>
      <c r="M1287" t="s">
        <v>2279</v>
      </c>
      <c r="N1287" t="s">
        <v>2279</v>
      </c>
      <c r="O1287" s="190" t="str">
        <f>"["&amp;$C1287&amp;"]["&amp;$D1287&amp;"]["&amp;$F1287&amp;"]"</f>
        <v>[S10_InstallationsComplianceMeasures][2][ComplianceMeasuresYesNo]</v>
      </c>
    </row>
    <row r="1288" spans="1:15" x14ac:dyDescent="0.3">
      <c r="A1288" t="s">
        <v>2277</v>
      </c>
      <c r="B1288" t="s">
        <v>2146</v>
      </c>
      <c r="C1288" t="s">
        <v>2147</v>
      </c>
      <c r="D1288">
        <v>3</v>
      </c>
      <c r="E1288" t="s">
        <v>1447</v>
      </c>
      <c r="F1288" t="s">
        <v>2148</v>
      </c>
      <c r="G1288" t="s">
        <v>1759</v>
      </c>
      <c r="H1288" t="s">
        <v>2279</v>
      </c>
      <c r="I1288" t="s">
        <v>2279</v>
      </c>
      <c r="J1288" t="s">
        <v>2279</v>
      </c>
      <c r="K1288" t="s">
        <v>2279</v>
      </c>
      <c r="L1288" t="s">
        <v>1419</v>
      </c>
      <c r="M1288" t="s">
        <v>2279</v>
      </c>
      <c r="N1288" t="s">
        <v>2279</v>
      </c>
      <c r="O1288" s="190" t="str">
        <f>"["&amp;$C1288&amp;"]["&amp;$D1288&amp;"]["&amp;$F1288&amp;"]"</f>
        <v>[S10_InstallationsComplianceMeasures][3][ComplianceMeasuresYesNo]</v>
      </c>
    </row>
    <row r="1289" spans="1:15" x14ac:dyDescent="0.3">
      <c r="A1289" t="s">
        <v>2277</v>
      </c>
      <c r="B1289" t="s">
        <v>2146</v>
      </c>
      <c r="C1289" t="s">
        <v>2147</v>
      </c>
      <c r="D1289">
        <v>4</v>
      </c>
      <c r="E1289" t="s">
        <v>1447</v>
      </c>
      <c r="F1289" t="s">
        <v>2148</v>
      </c>
      <c r="G1289" t="s">
        <v>1759</v>
      </c>
      <c r="H1289" t="s">
        <v>2279</v>
      </c>
      <c r="I1289" t="s">
        <v>2279</v>
      </c>
      <c r="J1289" t="s">
        <v>2279</v>
      </c>
      <c r="K1289" t="s">
        <v>2279</v>
      </c>
      <c r="L1289" t="s">
        <v>1447</v>
      </c>
      <c r="M1289" t="s">
        <v>2279</v>
      </c>
      <c r="N1289" t="s">
        <v>2279</v>
      </c>
      <c r="O1289" s="190" t="str">
        <f>"["&amp;$C1289&amp;"]["&amp;$D1289&amp;"]["&amp;$F1289&amp;"]"</f>
        <v>[S10_InstallationsComplianceMeasures][4][ComplianceMeasuresYesNo]</v>
      </c>
    </row>
    <row r="1290" spans="1:15" x14ac:dyDescent="0.3">
      <c r="A1290" t="s">
        <v>2277</v>
      </c>
      <c r="B1290" t="s">
        <v>2146</v>
      </c>
      <c r="C1290" t="s">
        <v>2147</v>
      </c>
      <c r="D1290">
        <v>1</v>
      </c>
      <c r="E1290" t="s">
        <v>1447</v>
      </c>
      <c r="F1290" t="s">
        <v>2149</v>
      </c>
      <c r="G1290" t="s">
        <v>1791</v>
      </c>
      <c r="H1290" t="s">
        <v>2279</v>
      </c>
      <c r="I1290" t="s">
        <v>2279</v>
      </c>
      <c r="J1290" t="s">
        <v>2279</v>
      </c>
      <c r="K1290" t="s">
        <v>2402</v>
      </c>
      <c r="L1290" t="s">
        <v>2279</v>
      </c>
      <c r="M1290" t="s">
        <v>2279</v>
      </c>
      <c r="N1290" t="s">
        <v>2279</v>
      </c>
      <c r="O1290" s="190" t="str">
        <f>"["&amp;$C1290&amp;"]["&amp;$D1290&amp;"]["&amp;$F1290&amp;"]"</f>
        <v>[S10_InstallationsComplianceMeasures][1][ComplianceMeasuresComment]</v>
      </c>
    </row>
    <row r="1291" spans="1:15" x14ac:dyDescent="0.3">
      <c r="A1291" t="s">
        <v>2277</v>
      </c>
      <c r="B1291" t="s">
        <v>2146</v>
      </c>
      <c r="C1291" t="s">
        <v>2147</v>
      </c>
      <c r="D1291">
        <v>2</v>
      </c>
      <c r="E1291" t="s">
        <v>1447</v>
      </c>
      <c r="F1291" t="s">
        <v>2149</v>
      </c>
      <c r="G1291" t="s">
        <v>1791</v>
      </c>
      <c r="H1291" t="s">
        <v>2279</v>
      </c>
      <c r="I1291" t="s">
        <v>2279</v>
      </c>
      <c r="J1291" t="s">
        <v>2279</v>
      </c>
      <c r="K1291" t="s">
        <v>2403</v>
      </c>
      <c r="L1291" t="s">
        <v>2279</v>
      </c>
      <c r="M1291" t="s">
        <v>2279</v>
      </c>
      <c r="N1291" t="s">
        <v>2279</v>
      </c>
      <c r="O1291" s="190" t="str">
        <f>"["&amp;$C1291&amp;"]["&amp;$D1291&amp;"]["&amp;$F1291&amp;"]"</f>
        <v>[S10_InstallationsComplianceMeasures][2][ComplianceMeasuresComment]</v>
      </c>
    </row>
    <row r="1292" spans="1:15" x14ac:dyDescent="0.3">
      <c r="A1292" t="s">
        <v>2277</v>
      </c>
      <c r="B1292" t="s">
        <v>2146</v>
      </c>
      <c r="C1292" t="s">
        <v>2147</v>
      </c>
      <c r="D1292">
        <v>3</v>
      </c>
      <c r="E1292" t="s">
        <v>1447</v>
      </c>
      <c r="F1292" t="s">
        <v>2149</v>
      </c>
      <c r="G1292" t="s">
        <v>1791</v>
      </c>
      <c r="H1292" t="s">
        <v>2279</v>
      </c>
      <c r="I1292" t="s">
        <v>2279</v>
      </c>
      <c r="J1292" t="s">
        <v>2279</v>
      </c>
      <c r="K1292" t="s">
        <v>2404</v>
      </c>
      <c r="L1292" t="s">
        <v>2279</v>
      </c>
      <c r="M1292" t="s">
        <v>2279</v>
      </c>
      <c r="N1292" t="s">
        <v>2279</v>
      </c>
      <c r="O1292" s="190" t="str">
        <f>"["&amp;$C1292&amp;"]["&amp;$D1292&amp;"]["&amp;$F1292&amp;"]"</f>
        <v>[S10_InstallationsComplianceMeasures][3][ComplianceMeasuresComment]</v>
      </c>
    </row>
    <row r="1293" spans="1:15" x14ac:dyDescent="0.3">
      <c r="A1293" t="s">
        <v>2277</v>
      </c>
      <c r="B1293" t="s">
        <v>2151</v>
      </c>
      <c r="C1293" t="s">
        <v>2152</v>
      </c>
      <c r="D1293">
        <v>1</v>
      </c>
      <c r="E1293" t="s">
        <v>1447</v>
      </c>
      <c r="F1293" t="s">
        <v>2111</v>
      </c>
      <c r="G1293" t="s">
        <v>1806</v>
      </c>
      <c r="H1293" t="s">
        <v>2279</v>
      </c>
      <c r="I1293" t="s">
        <v>2279</v>
      </c>
      <c r="J1293">
        <v>0</v>
      </c>
      <c r="K1293" t="s">
        <v>2279</v>
      </c>
      <c r="L1293" t="s">
        <v>2279</v>
      </c>
      <c r="M1293" t="s">
        <v>2279</v>
      </c>
      <c r="N1293" t="s">
        <v>2279</v>
      </c>
      <c r="O1293" s="190" t="str">
        <f>"["&amp;$C1293&amp;"]["&amp;$D1293&amp;"]["&amp;$F1293&amp;"]"</f>
        <v>[S10_InstallationsInfringementPenalties][1][MinFine]</v>
      </c>
    </row>
    <row r="1294" spans="1:15" x14ac:dyDescent="0.3">
      <c r="A1294" t="s">
        <v>2277</v>
      </c>
      <c r="B1294" t="s">
        <v>2151</v>
      </c>
      <c r="C1294" t="s">
        <v>2152</v>
      </c>
      <c r="D1294">
        <v>2</v>
      </c>
      <c r="E1294" t="s">
        <v>1447</v>
      </c>
      <c r="F1294" t="s">
        <v>2111</v>
      </c>
      <c r="G1294" t="s">
        <v>1806</v>
      </c>
      <c r="H1294" t="s">
        <v>2279</v>
      </c>
      <c r="I1294" t="s">
        <v>2279</v>
      </c>
      <c r="J1294">
        <v>0</v>
      </c>
      <c r="K1294" t="s">
        <v>2279</v>
      </c>
      <c r="L1294" t="s">
        <v>2279</v>
      </c>
      <c r="M1294" t="s">
        <v>2279</v>
      </c>
      <c r="N1294" t="s">
        <v>2279</v>
      </c>
      <c r="O1294" s="190" t="str">
        <f>"["&amp;$C1294&amp;"]["&amp;$D1294&amp;"]["&amp;$F1294&amp;"]"</f>
        <v>[S10_InstallationsInfringementPenalties][2][MinFine]</v>
      </c>
    </row>
    <row r="1295" spans="1:15" x14ac:dyDescent="0.3">
      <c r="A1295" t="s">
        <v>2277</v>
      </c>
      <c r="B1295" t="s">
        <v>2151</v>
      </c>
      <c r="C1295" t="s">
        <v>2152</v>
      </c>
      <c r="D1295">
        <v>3</v>
      </c>
      <c r="E1295" t="s">
        <v>1447</v>
      </c>
      <c r="F1295" t="s">
        <v>2111</v>
      </c>
      <c r="G1295" t="s">
        <v>1806</v>
      </c>
      <c r="H1295" t="s">
        <v>2279</v>
      </c>
      <c r="I1295" t="s">
        <v>2279</v>
      </c>
      <c r="J1295">
        <v>0</v>
      </c>
      <c r="K1295" t="s">
        <v>2279</v>
      </c>
      <c r="L1295" t="s">
        <v>2279</v>
      </c>
      <c r="M1295" t="s">
        <v>2279</v>
      </c>
      <c r="N1295" t="s">
        <v>2279</v>
      </c>
      <c r="O1295" s="190" t="str">
        <f>"["&amp;$C1295&amp;"]["&amp;$D1295&amp;"]["&amp;$F1295&amp;"]"</f>
        <v>[S10_InstallationsInfringementPenalties][3][MinFine]</v>
      </c>
    </row>
    <row r="1296" spans="1:15" x14ac:dyDescent="0.3">
      <c r="A1296" t="s">
        <v>2277</v>
      </c>
      <c r="B1296" t="s">
        <v>2151</v>
      </c>
      <c r="C1296" t="s">
        <v>2152</v>
      </c>
      <c r="D1296">
        <v>6</v>
      </c>
      <c r="E1296" t="s">
        <v>1447</v>
      </c>
      <c r="F1296" t="s">
        <v>2111</v>
      </c>
      <c r="G1296" t="s">
        <v>1806</v>
      </c>
      <c r="H1296" t="s">
        <v>2279</v>
      </c>
      <c r="I1296" t="s">
        <v>2279</v>
      </c>
      <c r="J1296">
        <v>0</v>
      </c>
      <c r="K1296" t="s">
        <v>2279</v>
      </c>
      <c r="L1296" t="s">
        <v>2279</v>
      </c>
      <c r="M1296" t="s">
        <v>2279</v>
      </c>
      <c r="N1296" t="s">
        <v>2279</v>
      </c>
      <c r="O1296" s="190" t="str">
        <f>"["&amp;$C1296&amp;"]["&amp;$D1296&amp;"]["&amp;$F1296&amp;"]"</f>
        <v>[S10_InstallationsInfringementPenalties][6][MinFine]</v>
      </c>
    </row>
    <row r="1297" spans="1:15" x14ac:dyDescent="0.3">
      <c r="A1297" t="s">
        <v>2277</v>
      </c>
      <c r="B1297" t="s">
        <v>2151</v>
      </c>
      <c r="C1297" t="s">
        <v>2152</v>
      </c>
      <c r="D1297">
        <v>7</v>
      </c>
      <c r="E1297" t="s">
        <v>1447</v>
      </c>
      <c r="F1297" t="s">
        <v>2111</v>
      </c>
      <c r="G1297" t="s">
        <v>1806</v>
      </c>
      <c r="H1297" t="s">
        <v>2279</v>
      </c>
      <c r="I1297" t="s">
        <v>2279</v>
      </c>
      <c r="J1297">
        <v>0</v>
      </c>
      <c r="K1297" t="s">
        <v>2279</v>
      </c>
      <c r="L1297" t="s">
        <v>2279</v>
      </c>
      <c r="M1297" t="s">
        <v>2279</v>
      </c>
      <c r="N1297" t="s">
        <v>2279</v>
      </c>
      <c r="O1297" s="190" t="str">
        <f>"["&amp;$C1297&amp;"]["&amp;$D1297&amp;"]["&amp;$F1297&amp;"]"</f>
        <v>[S10_InstallationsInfringementPenalties][7][MinFine]</v>
      </c>
    </row>
    <row r="1298" spans="1:15" x14ac:dyDescent="0.3">
      <c r="A1298" t="s">
        <v>2277</v>
      </c>
      <c r="B1298" t="s">
        <v>2151</v>
      </c>
      <c r="C1298" t="s">
        <v>2152</v>
      </c>
      <c r="D1298">
        <v>8</v>
      </c>
      <c r="E1298" t="s">
        <v>1447</v>
      </c>
      <c r="F1298" t="s">
        <v>2111</v>
      </c>
      <c r="G1298" t="s">
        <v>1806</v>
      </c>
      <c r="H1298" t="s">
        <v>2279</v>
      </c>
      <c r="I1298" t="s">
        <v>2279</v>
      </c>
      <c r="J1298">
        <v>0</v>
      </c>
      <c r="K1298" t="s">
        <v>2279</v>
      </c>
      <c r="L1298" t="s">
        <v>2279</v>
      </c>
      <c r="M1298" t="s">
        <v>2279</v>
      </c>
      <c r="N1298" t="s">
        <v>2279</v>
      </c>
      <c r="O1298" s="190" t="str">
        <f>"["&amp;$C1298&amp;"]["&amp;$D1298&amp;"]["&amp;$F1298&amp;"]"</f>
        <v>[S10_InstallationsInfringementPenalties][8][MinFine]</v>
      </c>
    </row>
    <row r="1299" spans="1:15" x14ac:dyDescent="0.3">
      <c r="A1299" t="s">
        <v>2277</v>
      </c>
      <c r="B1299" t="s">
        <v>2151</v>
      </c>
      <c r="C1299" t="s">
        <v>2152</v>
      </c>
      <c r="D1299">
        <v>11</v>
      </c>
      <c r="E1299" t="s">
        <v>1447</v>
      </c>
      <c r="F1299" t="s">
        <v>2111</v>
      </c>
      <c r="G1299" t="s">
        <v>1806</v>
      </c>
      <c r="H1299" t="s">
        <v>2279</v>
      </c>
      <c r="I1299" t="s">
        <v>2279</v>
      </c>
      <c r="J1299">
        <v>0</v>
      </c>
      <c r="K1299" t="s">
        <v>2279</v>
      </c>
      <c r="L1299" t="s">
        <v>2279</v>
      </c>
      <c r="M1299" t="s">
        <v>2279</v>
      </c>
      <c r="N1299" t="s">
        <v>2279</v>
      </c>
      <c r="O1299" s="190" t="str">
        <f>"["&amp;$C1299&amp;"]["&amp;$D1299&amp;"]["&amp;$F1299&amp;"]"</f>
        <v>[S10_InstallationsInfringementPenalties][11][MinFine]</v>
      </c>
    </row>
    <row r="1300" spans="1:15" x14ac:dyDescent="0.3">
      <c r="A1300" t="s">
        <v>2277</v>
      </c>
      <c r="B1300" t="s">
        <v>2151</v>
      </c>
      <c r="C1300" t="s">
        <v>2152</v>
      </c>
      <c r="D1300">
        <v>12</v>
      </c>
      <c r="E1300" t="s">
        <v>1447</v>
      </c>
      <c r="F1300" t="s">
        <v>2111</v>
      </c>
      <c r="G1300" t="s">
        <v>1806</v>
      </c>
      <c r="H1300" t="s">
        <v>2279</v>
      </c>
      <c r="I1300" t="s">
        <v>2279</v>
      </c>
      <c r="J1300">
        <v>0</v>
      </c>
      <c r="K1300" t="s">
        <v>2279</v>
      </c>
      <c r="L1300" t="s">
        <v>2279</v>
      </c>
      <c r="M1300" t="s">
        <v>2279</v>
      </c>
      <c r="N1300" t="s">
        <v>2279</v>
      </c>
      <c r="O1300" s="190" t="str">
        <f>"["&amp;$C1300&amp;"]["&amp;$D1300&amp;"]["&amp;$F1300&amp;"]"</f>
        <v>[S10_InstallationsInfringementPenalties][12][MinFine]</v>
      </c>
    </row>
    <row r="1301" spans="1:15" x14ac:dyDescent="0.3">
      <c r="A1301" t="s">
        <v>2277</v>
      </c>
      <c r="B1301" t="s">
        <v>2151</v>
      </c>
      <c r="C1301" t="s">
        <v>2152</v>
      </c>
      <c r="D1301">
        <v>13</v>
      </c>
      <c r="E1301" t="s">
        <v>1447</v>
      </c>
      <c r="F1301" t="s">
        <v>2111</v>
      </c>
      <c r="G1301" t="s">
        <v>1806</v>
      </c>
      <c r="H1301" t="s">
        <v>2279</v>
      </c>
      <c r="I1301" t="s">
        <v>2279</v>
      </c>
      <c r="J1301">
        <v>0</v>
      </c>
      <c r="K1301" t="s">
        <v>2279</v>
      </c>
      <c r="L1301" t="s">
        <v>2279</v>
      </c>
      <c r="M1301" t="s">
        <v>2279</v>
      </c>
      <c r="N1301" t="s">
        <v>2279</v>
      </c>
      <c r="O1301" s="190" t="str">
        <f>"["&amp;$C1301&amp;"]["&amp;$D1301&amp;"]["&amp;$F1301&amp;"]"</f>
        <v>[S10_InstallationsInfringementPenalties][13][MinFine]</v>
      </c>
    </row>
    <row r="1302" spans="1:15" x14ac:dyDescent="0.3">
      <c r="A1302" t="s">
        <v>2277</v>
      </c>
      <c r="B1302" t="s">
        <v>2151</v>
      </c>
      <c r="C1302" t="s">
        <v>2152</v>
      </c>
      <c r="D1302">
        <v>1</v>
      </c>
      <c r="E1302" t="s">
        <v>1447</v>
      </c>
      <c r="F1302" t="s">
        <v>2112</v>
      </c>
      <c r="G1302" t="s">
        <v>1806</v>
      </c>
      <c r="H1302" t="s">
        <v>2279</v>
      </c>
      <c r="I1302" t="s">
        <v>2279</v>
      </c>
      <c r="J1302">
        <v>200000</v>
      </c>
      <c r="K1302" t="s">
        <v>2279</v>
      </c>
      <c r="L1302" t="s">
        <v>2279</v>
      </c>
      <c r="M1302" t="s">
        <v>2279</v>
      </c>
      <c r="N1302" t="s">
        <v>2279</v>
      </c>
      <c r="O1302" s="190" t="str">
        <f>"["&amp;$C1302&amp;"]["&amp;$D1302&amp;"]["&amp;$F1302&amp;"]"</f>
        <v>[S10_InstallationsInfringementPenalties][1][MaxFine]</v>
      </c>
    </row>
    <row r="1303" spans="1:15" x14ac:dyDescent="0.3">
      <c r="A1303" t="s">
        <v>2277</v>
      </c>
      <c r="B1303" t="s">
        <v>2151</v>
      </c>
      <c r="C1303" t="s">
        <v>2152</v>
      </c>
      <c r="D1303">
        <v>2</v>
      </c>
      <c r="E1303" t="s">
        <v>1447</v>
      </c>
      <c r="F1303" t="s">
        <v>2112</v>
      </c>
      <c r="G1303" t="s">
        <v>1806</v>
      </c>
      <c r="H1303" t="s">
        <v>2279</v>
      </c>
      <c r="I1303" t="s">
        <v>2279</v>
      </c>
      <c r="J1303">
        <v>200000</v>
      </c>
      <c r="K1303" t="s">
        <v>2279</v>
      </c>
      <c r="L1303" t="s">
        <v>2279</v>
      </c>
      <c r="M1303" t="s">
        <v>2279</v>
      </c>
      <c r="N1303" t="s">
        <v>2279</v>
      </c>
      <c r="O1303" s="190" t="str">
        <f>"["&amp;$C1303&amp;"]["&amp;$D1303&amp;"]["&amp;$F1303&amp;"]"</f>
        <v>[S10_InstallationsInfringementPenalties][2][MaxFine]</v>
      </c>
    </row>
    <row r="1304" spans="1:15" x14ac:dyDescent="0.3">
      <c r="A1304" t="s">
        <v>2277</v>
      </c>
      <c r="B1304" t="s">
        <v>2151</v>
      </c>
      <c r="C1304" t="s">
        <v>2152</v>
      </c>
      <c r="D1304">
        <v>3</v>
      </c>
      <c r="E1304" t="s">
        <v>1447</v>
      </c>
      <c r="F1304" t="s">
        <v>2112</v>
      </c>
      <c r="G1304" t="s">
        <v>1806</v>
      </c>
      <c r="H1304" t="s">
        <v>2279</v>
      </c>
      <c r="I1304" t="s">
        <v>2279</v>
      </c>
      <c r="J1304">
        <v>20000</v>
      </c>
      <c r="K1304" t="s">
        <v>2279</v>
      </c>
      <c r="L1304" t="s">
        <v>2279</v>
      </c>
      <c r="M1304" t="s">
        <v>2279</v>
      </c>
      <c r="N1304" t="s">
        <v>2279</v>
      </c>
      <c r="O1304" s="190" t="str">
        <f>"["&amp;$C1304&amp;"]["&amp;$D1304&amp;"]["&amp;$F1304&amp;"]"</f>
        <v>[S10_InstallationsInfringementPenalties][3][MaxFine]</v>
      </c>
    </row>
    <row r="1305" spans="1:15" x14ac:dyDescent="0.3">
      <c r="A1305" t="s">
        <v>2277</v>
      </c>
      <c r="B1305" t="s">
        <v>2151</v>
      </c>
      <c r="C1305" t="s">
        <v>2152</v>
      </c>
      <c r="D1305">
        <v>6</v>
      </c>
      <c r="E1305" t="s">
        <v>1447</v>
      </c>
      <c r="F1305" t="s">
        <v>2112</v>
      </c>
      <c r="G1305" t="s">
        <v>1806</v>
      </c>
      <c r="H1305" t="s">
        <v>2279</v>
      </c>
      <c r="I1305" t="s">
        <v>2279</v>
      </c>
      <c r="J1305">
        <v>800000</v>
      </c>
      <c r="K1305" t="s">
        <v>2279</v>
      </c>
      <c r="L1305" t="s">
        <v>2279</v>
      </c>
      <c r="M1305" t="s">
        <v>2279</v>
      </c>
      <c r="N1305" t="s">
        <v>2279</v>
      </c>
      <c r="O1305" s="190" t="str">
        <f>"["&amp;$C1305&amp;"]["&amp;$D1305&amp;"]["&amp;$F1305&amp;"]"</f>
        <v>[S10_InstallationsInfringementPenalties][6][MaxFine]</v>
      </c>
    </row>
    <row r="1306" spans="1:15" x14ac:dyDescent="0.3">
      <c r="A1306" t="s">
        <v>2277</v>
      </c>
      <c r="B1306" t="s">
        <v>2151</v>
      </c>
      <c r="C1306" t="s">
        <v>2152</v>
      </c>
      <c r="D1306">
        <v>7</v>
      </c>
      <c r="E1306" t="s">
        <v>1447</v>
      </c>
      <c r="F1306" t="s">
        <v>2112</v>
      </c>
      <c r="G1306" t="s">
        <v>1806</v>
      </c>
      <c r="H1306" t="s">
        <v>2279</v>
      </c>
      <c r="I1306" t="s">
        <v>2279</v>
      </c>
      <c r="J1306">
        <v>4000</v>
      </c>
      <c r="K1306" t="s">
        <v>2279</v>
      </c>
      <c r="L1306" t="s">
        <v>2279</v>
      </c>
      <c r="M1306" t="s">
        <v>2279</v>
      </c>
      <c r="N1306" t="s">
        <v>2279</v>
      </c>
      <c r="O1306" s="190" t="str">
        <f>"["&amp;$C1306&amp;"]["&amp;$D1306&amp;"]["&amp;$F1306&amp;"]"</f>
        <v>[S10_InstallationsInfringementPenalties][7][MaxFine]</v>
      </c>
    </row>
    <row r="1307" spans="1:15" x14ac:dyDescent="0.3">
      <c r="A1307" t="s">
        <v>2277</v>
      </c>
      <c r="B1307" t="s">
        <v>2151</v>
      </c>
      <c r="C1307" t="s">
        <v>2152</v>
      </c>
      <c r="D1307">
        <v>8</v>
      </c>
      <c r="E1307" t="s">
        <v>1447</v>
      </c>
      <c r="F1307" t="s">
        <v>2112</v>
      </c>
      <c r="G1307" t="s">
        <v>1806</v>
      </c>
      <c r="H1307" t="s">
        <v>2279</v>
      </c>
      <c r="I1307" t="s">
        <v>2279</v>
      </c>
      <c r="J1307">
        <v>20000</v>
      </c>
      <c r="K1307" t="s">
        <v>2279</v>
      </c>
      <c r="L1307" t="s">
        <v>2279</v>
      </c>
      <c r="M1307" t="s">
        <v>2279</v>
      </c>
      <c r="N1307" t="s">
        <v>2279</v>
      </c>
      <c r="O1307" s="190" t="str">
        <f>"["&amp;$C1307&amp;"]["&amp;$D1307&amp;"]["&amp;$F1307&amp;"]"</f>
        <v>[S10_InstallationsInfringementPenalties][8][MaxFine]</v>
      </c>
    </row>
    <row r="1308" spans="1:15" x14ac:dyDescent="0.3">
      <c r="A1308" t="s">
        <v>2277</v>
      </c>
      <c r="B1308" t="s">
        <v>2151</v>
      </c>
      <c r="C1308" t="s">
        <v>2152</v>
      </c>
      <c r="D1308">
        <v>11</v>
      </c>
      <c r="E1308" t="s">
        <v>1447</v>
      </c>
      <c r="F1308" t="s">
        <v>2112</v>
      </c>
      <c r="G1308" t="s">
        <v>1806</v>
      </c>
      <c r="H1308" t="s">
        <v>2279</v>
      </c>
      <c r="I1308" t="s">
        <v>2279</v>
      </c>
      <c r="J1308">
        <v>800000</v>
      </c>
      <c r="K1308" t="s">
        <v>2279</v>
      </c>
      <c r="L1308" t="s">
        <v>2279</v>
      </c>
      <c r="M1308" t="s">
        <v>2279</v>
      </c>
      <c r="N1308" t="s">
        <v>2279</v>
      </c>
      <c r="O1308" s="190" t="str">
        <f>"["&amp;$C1308&amp;"]["&amp;$D1308&amp;"]["&amp;$F1308&amp;"]"</f>
        <v>[S10_InstallationsInfringementPenalties][11][MaxFine]</v>
      </c>
    </row>
    <row r="1309" spans="1:15" x14ac:dyDescent="0.3">
      <c r="A1309" t="s">
        <v>2277</v>
      </c>
      <c r="B1309" t="s">
        <v>2151</v>
      </c>
      <c r="C1309" t="s">
        <v>2152</v>
      </c>
      <c r="D1309">
        <v>12</v>
      </c>
      <c r="E1309" t="s">
        <v>1447</v>
      </c>
      <c r="F1309" t="s">
        <v>2112</v>
      </c>
      <c r="G1309" t="s">
        <v>1806</v>
      </c>
      <c r="H1309" t="s">
        <v>2279</v>
      </c>
      <c r="I1309" t="s">
        <v>2279</v>
      </c>
      <c r="J1309">
        <v>200000</v>
      </c>
      <c r="K1309" t="s">
        <v>2279</v>
      </c>
      <c r="L1309" t="s">
        <v>2279</v>
      </c>
      <c r="M1309" t="s">
        <v>2279</v>
      </c>
      <c r="N1309" t="s">
        <v>2279</v>
      </c>
      <c r="O1309" s="190" t="str">
        <f>"["&amp;$C1309&amp;"]["&amp;$D1309&amp;"]["&amp;$F1309&amp;"]"</f>
        <v>[S10_InstallationsInfringementPenalties][12][MaxFine]</v>
      </c>
    </row>
    <row r="1310" spans="1:15" x14ac:dyDescent="0.3">
      <c r="A1310" t="s">
        <v>2277</v>
      </c>
      <c r="B1310" t="s">
        <v>2151</v>
      </c>
      <c r="C1310" t="s">
        <v>2152</v>
      </c>
      <c r="D1310">
        <v>13</v>
      </c>
      <c r="E1310" t="s">
        <v>1447</v>
      </c>
      <c r="F1310" t="s">
        <v>2112</v>
      </c>
      <c r="G1310" t="s">
        <v>1806</v>
      </c>
      <c r="H1310" t="s">
        <v>2279</v>
      </c>
      <c r="I1310" t="s">
        <v>2279</v>
      </c>
      <c r="J1310">
        <v>4000</v>
      </c>
      <c r="K1310" t="s">
        <v>2279</v>
      </c>
      <c r="L1310" t="s">
        <v>2279</v>
      </c>
      <c r="M1310" t="s">
        <v>2279</v>
      </c>
      <c r="N1310" t="s">
        <v>2279</v>
      </c>
      <c r="O1310" s="190" t="str">
        <f>"["&amp;$C1310&amp;"]["&amp;$D1310&amp;"]["&amp;$F1310&amp;"]"</f>
        <v>[S10_InstallationsInfringementPenalties][13][MaxFine]</v>
      </c>
    </row>
    <row r="1311" spans="1:15" x14ac:dyDescent="0.3">
      <c r="A1311" t="s">
        <v>2277</v>
      </c>
      <c r="B1311" t="s">
        <v>2151</v>
      </c>
      <c r="C1311" t="s">
        <v>2152</v>
      </c>
      <c r="D1311">
        <v>14</v>
      </c>
      <c r="E1311" t="s">
        <v>1447</v>
      </c>
      <c r="F1311" t="s">
        <v>2112</v>
      </c>
      <c r="G1311" t="s">
        <v>1806</v>
      </c>
      <c r="H1311" t="s">
        <v>2279</v>
      </c>
      <c r="I1311" t="s">
        <v>2279</v>
      </c>
      <c r="J1311">
        <v>100</v>
      </c>
      <c r="K1311" t="s">
        <v>2279</v>
      </c>
      <c r="L1311" t="s">
        <v>2279</v>
      </c>
      <c r="M1311" t="s">
        <v>2279</v>
      </c>
      <c r="N1311" t="s">
        <v>2279</v>
      </c>
      <c r="O1311" s="190" t="str">
        <f>"["&amp;$C1311&amp;"]["&amp;$D1311&amp;"]["&amp;$F1311&amp;"]"</f>
        <v>[S10_InstallationsInfringementPenalties][14][MaxFine]</v>
      </c>
    </row>
    <row r="1312" spans="1:15" x14ac:dyDescent="0.3">
      <c r="A1312" t="s">
        <v>2277</v>
      </c>
      <c r="B1312" t="s">
        <v>2151</v>
      </c>
      <c r="C1312" t="s">
        <v>2152</v>
      </c>
      <c r="D1312">
        <v>14</v>
      </c>
      <c r="E1312" t="s">
        <v>1447</v>
      </c>
      <c r="F1312" t="s">
        <v>2115</v>
      </c>
      <c r="G1312" t="s">
        <v>1791</v>
      </c>
      <c r="H1312" t="s">
        <v>2279</v>
      </c>
      <c r="I1312" t="s">
        <v>2279</v>
      </c>
      <c r="J1312" t="s">
        <v>2279</v>
      </c>
      <c r="K1312" t="s">
        <v>2405</v>
      </c>
      <c r="L1312" t="s">
        <v>2279</v>
      </c>
      <c r="M1312" t="s">
        <v>2279</v>
      </c>
      <c r="N1312" t="s">
        <v>2279</v>
      </c>
      <c r="O1312" s="190" t="str">
        <f>"["&amp;$C1312&amp;"]["&amp;$D1312&amp;"]["&amp;$F1312&amp;"]"</f>
        <v>[S10_InstallationsInfringementPenalties][14][OtherPenalty]</v>
      </c>
    </row>
    <row r="1313" spans="1:15" x14ac:dyDescent="0.3">
      <c r="A1313" t="s">
        <v>2277</v>
      </c>
      <c r="B1313" t="s">
        <v>2151</v>
      </c>
      <c r="C1313" t="s">
        <v>2152</v>
      </c>
      <c r="D1313">
        <v>12</v>
      </c>
      <c r="E1313" t="s">
        <v>1419</v>
      </c>
      <c r="F1313" t="s">
        <v>2116</v>
      </c>
      <c r="G1313" t="s">
        <v>1791</v>
      </c>
      <c r="H1313" t="s">
        <v>2279</v>
      </c>
      <c r="I1313" t="s">
        <v>2279</v>
      </c>
      <c r="J1313" t="s">
        <v>2279</v>
      </c>
      <c r="K1313" t="s">
        <v>2406</v>
      </c>
      <c r="L1313" t="s">
        <v>2279</v>
      </c>
      <c r="M1313" t="s">
        <v>2279</v>
      </c>
      <c r="N1313" t="s">
        <v>2279</v>
      </c>
      <c r="O1313" s="190" t="str">
        <f>"["&amp;$C1313&amp;"]["&amp;$D1313&amp;"]["&amp;$F1313&amp;"]"</f>
        <v>[S10_InstallationsInfringementPenalties][12][InfringementOther]</v>
      </c>
    </row>
    <row r="1314" spans="1:15" x14ac:dyDescent="0.3">
      <c r="A1314" t="s">
        <v>2277</v>
      </c>
      <c r="B1314" t="s">
        <v>2151</v>
      </c>
      <c r="C1314" t="s">
        <v>2152</v>
      </c>
      <c r="D1314">
        <v>13</v>
      </c>
      <c r="E1314" t="s">
        <v>1419</v>
      </c>
      <c r="F1314" t="s">
        <v>2116</v>
      </c>
      <c r="G1314" t="s">
        <v>1791</v>
      </c>
      <c r="H1314" t="s">
        <v>2279</v>
      </c>
      <c r="I1314" t="s">
        <v>2279</v>
      </c>
      <c r="J1314" t="s">
        <v>2279</v>
      </c>
      <c r="K1314" t="s">
        <v>2407</v>
      </c>
      <c r="L1314" t="s">
        <v>2279</v>
      </c>
      <c r="M1314" t="s">
        <v>2279</v>
      </c>
      <c r="N1314" t="s">
        <v>2279</v>
      </c>
      <c r="O1314" s="190" t="str">
        <f>"["&amp;$C1314&amp;"]["&amp;$D1314&amp;"]["&amp;$F1314&amp;"]"</f>
        <v>[S10_InstallationsInfringementPenalties][13][InfringementOther]</v>
      </c>
    </row>
    <row r="1315" spans="1:15" x14ac:dyDescent="0.3">
      <c r="A1315" t="s">
        <v>2277</v>
      </c>
      <c r="B1315" t="s">
        <v>2151</v>
      </c>
      <c r="C1315" t="s">
        <v>2152</v>
      </c>
      <c r="D1315">
        <v>14</v>
      </c>
      <c r="E1315" t="s">
        <v>1419</v>
      </c>
      <c r="F1315" t="s">
        <v>2116</v>
      </c>
      <c r="G1315" t="s">
        <v>1791</v>
      </c>
      <c r="H1315" t="s">
        <v>2279</v>
      </c>
      <c r="I1315" t="s">
        <v>2279</v>
      </c>
      <c r="J1315" t="s">
        <v>2279</v>
      </c>
      <c r="K1315" t="s">
        <v>2408</v>
      </c>
      <c r="L1315" t="s">
        <v>2279</v>
      </c>
      <c r="M1315" t="s">
        <v>2279</v>
      </c>
      <c r="N1315" t="s">
        <v>2279</v>
      </c>
      <c r="O1315" s="190" t="str">
        <f>"["&amp;$C1315&amp;"]["&amp;$D1315&amp;"]["&amp;$F1315&amp;"]"</f>
        <v>[S10_InstallationsInfringementPenalties][14][InfringementOther]</v>
      </c>
    </row>
    <row r="1316" spans="1:15" x14ac:dyDescent="0.3">
      <c r="A1316" t="s">
        <v>2277</v>
      </c>
      <c r="B1316" t="s">
        <v>2151</v>
      </c>
      <c r="C1316" t="s">
        <v>2153</v>
      </c>
      <c r="D1316">
        <v>0</v>
      </c>
      <c r="E1316" t="s">
        <v>1447</v>
      </c>
      <c r="F1316" t="s">
        <v>2153</v>
      </c>
      <c r="G1316" t="s">
        <v>1741</v>
      </c>
      <c r="H1316" t="s">
        <v>2409</v>
      </c>
      <c r="I1316" t="s">
        <v>2279</v>
      </c>
      <c r="J1316" t="s">
        <v>2279</v>
      </c>
      <c r="K1316" t="s">
        <v>2279</v>
      </c>
      <c r="L1316" t="s">
        <v>2279</v>
      </c>
      <c r="M1316" t="s">
        <v>2279</v>
      </c>
      <c r="N1316" t="s">
        <v>2279</v>
      </c>
      <c r="O1316" s="190" t="str">
        <f>"["&amp;$C1316&amp;"]["&amp;$D1316&amp;"]["&amp;$F1316&amp;"]"</f>
        <v>[InstallationsNationalLaw][0][InstallationsNationalLaw]</v>
      </c>
    </row>
    <row r="1317" spans="1:15" x14ac:dyDescent="0.3">
      <c r="A1317" t="s">
        <v>2277</v>
      </c>
      <c r="B1317" t="s">
        <v>2154</v>
      </c>
      <c r="C1317" t="s">
        <v>2155</v>
      </c>
      <c r="D1317">
        <v>1</v>
      </c>
      <c r="E1317" t="s">
        <v>1447</v>
      </c>
      <c r="F1317" t="s">
        <v>2119</v>
      </c>
      <c r="G1317" t="s">
        <v>1737</v>
      </c>
      <c r="H1317" t="s">
        <v>2279</v>
      </c>
      <c r="I1317" t="s">
        <v>2279</v>
      </c>
      <c r="J1317" t="s">
        <v>2279</v>
      </c>
      <c r="K1317" t="s">
        <v>2279</v>
      </c>
      <c r="L1317" t="s">
        <v>1288</v>
      </c>
      <c r="M1317" t="s">
        <v>2279</v>
      </c>
      <c r="N1317" t="s">
        <v>2279</v>
      </c>
      <c r="O1317" s="190" t="str">
        <f>"["&amp;$C1317&amp;"]["&amp;$D1317&amp;"]["&amp;$F1317&amp;"]"</f>
        <v>[S10_InstallationsPenaltiesImposed][1][InfringementType]</v>
      </c>
    </row>
    <row r="1318" spans="1:15" x14ac:dyDescent="0.3">
      <c r="A1318" t="s">
        <v>2277</v>
      </c>
      <c r="B1318" t="s">
        <v>2154</v>
      </c>
      <c r="C1318" t="s">
        <v>2155</v>
      </c>
      <c r="D1318">
        <v>2</v>
      </c>
      <c r="E1318" t="s">
        <v>1447</v>
      </c>
      <c r="F1318" t="s">
        <v>2119</v>
      </c>
      <c r="G1318" t="s">
        <v>1737</v>
      </c>
      <c r="H1318" t="s">
        <v>2279</v>
      </c>
      <c r="I1318" t="s">
        <v>2279</v>
      </c>
      <c r="J1318" t="s">
        <v>2279</v>
      </c>
      <c r="K1318" t="s">
        <v>2279</v>
      </c>
      <c r="L1318" t="s">
        <v>1288</v>
      </c>
      <c r="M1318" t="s">
        <v>2279</v>
      </c>
      <c r="N1318" t="s">
        <v>2279</v>
      </c>
      <c r="O1318" s="190" t="str">
        <f>"["&amp;$C1318&amp;"]["&amp;$D1318&amp;"]["&amp;$F1318&amp;"]"</f>
        <v>[S10_InstallationsPenaltiesImposed][2][InfringementType]</v>
      </c>
    </row>
    <row r="1319" spans="1:15" x14ac:dyDescent="0.3">
      <c r="A1319" t="s">
        <v>2277</v>
      </c>
      <c r="B1319" t="s">
        <v>2154</v>
      </c>
      <c r="C1319" t="s">
        <v>2155</v>
      </c>
      <c r="D1319">
        <v>1</v>
      </c>
      <c r="E1319" t="s">
        <v>1447</v>
      </c>
      <c r="F1319" t="s">
        <v>2120</v>
      </c>
      <c r="G1319" t="s">
        <v>1806</v>
      </c>
      <c r="H1319" t="s">
        <v>2279</v>
      </c>
      <c r="I1319" t="s">
        <v>2279</v>
      </c>
      <c r="J1319">
        <v>3372139.8461144599</v>
      </c>
      <c r="K1319" t="s">
        <v>2279</v>
      </c>
      <c r="L1319" t="s">
        <v>2279</v>
      </c>
      <c r="M1319" t="s">
        <v>2279</v>
      </c>
      <c r="N1319" t="s">
        <v>2279</v>
      </c>
      <c r="O1319" s="190" t="str">
        <f>"["&amp;$C1319&amp;"]["&amp;$D1319&amp;"]["&amp;$F1319&amp;"]"</f>
        <v>[S10_InstallationsPenaltiesImposed][1][ActualFines]</v>
      </c>
    </row>
    <row r="1320" spans="1:15" x14ac:dyDescent="0.3">
      <c r="A1320" t="s">
        <v>2277</v>
      </c>
      <c r="B1320" t="s">
        <v>2154</v>
      </c>
      <c r="C1320" t="s">
        <v>2155</v>
      </c>
      <c r="D1320">
        <v>2</v>
      </c>
      <c r="E1320" t="s">
        <v>1447</v>
      </c>
      <c r="F1320" t="s">
        <v>2120</v>
      </c>
      <c r="G1320" t="s">
        <v>1806</v>
      </c>
      <c r="H1320" t="s">
        <v>2279</v>
      </c>
      <c r="I1320" t="s">
        <v>2279</v>
      </c>
      <c r="J1320">
        <v>10413699.38665</v>
      </c>
      <c r="K1320" t="s">
        <v>2279</v>
      </c>
      <c r="L1320" t="s">
        <v>2279</v>
      </c>
      <c r="M1320" t="s">
        <v>2279</v>
      </c>
      <c r="N1320" t="s">
        <v>2279</v>
      </c>
      <c r="O1320" s="190" t="str">
        <f>"["&amp;$C1320&amp;"]["&amp;$D1320&amp;"]["&amp;$F1320&amp;"]"</f>
        <v>[S10_InstallationsPenaltiesImposed][2][ActualFines]</v>
      </c>
    </row>
    <row r="1321" spans="1:15" x14ac:dyDescent="0.3">
      <c r="A1321" t="s">
        <v>2277</v>
      </c>
      <c r="B1321" t="s">
        <v>2154</v>
      </c>
      <c r="C1321" t="s">
        <v>2155</v>
      </c>
      <c r="D1321">
        <v>1</v>
      </c>
      <c r="E1321" t="s">
        <v>1447</v>
      </c>
      <c r="F1321" t="s">
        <v>2121</v>
      </c>
      <c r="G1321" t="s">
        <v>1806</v>
      </c>
      <c r="H1321" t="s">
        <v>2279</v>
      </c>
      <c r="I1321" t="s">
        <v>2279</v>
      </c>
      <c r="J1321">
        <v>0</v>
      </c>
      <c r="K1321" t="s">
        <v>2279</v>
      </c>
      <c r="L1321" t="s">
        <v>2279</v>
      </c>
      <c r="M1321" t="s">
        <v>2279</v>
      </c>
      <c r="N1321" t="s">
        <v>2279</v>
      </c>
      <c r="O1321" s="190" t="str">
        <f>"["&amp;$C1321&amp;"]["&amp;$D1321&amp;"]["&amp;$F1321&amp;"]"</f>
        <v>[S10_InstallationsPenaltiesImposed][1][ActualImprisonment]</v>
      </c>
    </row>
    <row r="1322" spans="1:15" x14ac:dyDescent="0.3">
      <c r="A1322" t="s">
        <v>2277</v>
      </c>
      <c r="B1322" t="s">
        <v>2154</v>
      </c>
      <c r="C1322" t="s">
        <v>2155</v>
      </c>
      <c r="D1322">
        <v>2</v>
      </c>
      <c r="E1322" t="s">
        <v>1447</v>
      </c>
      <c r="F1322" t="s">
        <v>2121</v>
      </c>
      <c r="G1322" t="s">
        <v>1806</v>
      </c>
      <c r="H1322" t="s">
        <v>2279</v>
      </c>
      <c r="I1322" t="s">
        <v>2279</v>
      </c>
      <c r="J1322">
        <v>0</v>
      </c>
      <c r="K1322" t="s">
        <v>2279</v>
      </c>
      <c r="L1322" t="s">
        <v>2279</v>
      </c>
      <c r="M1322" t="s">
        <v>2279</v>
      </c>
      <c r="N1322" t="s">
        <v>2279</v>
      </c>
      <c r="O1322" s="190" t="str">
        <f>"["&amp;$C1322&amp;"]["&amp;$D1322&amp;"]["&amp;$F1322&amp;"]"</f>
        <v>[S10_InstallationsPenaltiesImposed][2][ActualImprisonment]</v>
      </c>
    </row>
    <row r="1323" spans="1:15" x14ac:dyDescent="0.3">
      <c r="A1323" t="s">
        <v>2277</v>
      </c>
      <c r="B1323" t="s">
        <v>2154</v>
      </c>
      <c r="C1323" t="s">
        <v>2155</v>
      </c>
      <c r="D1323">
        <v>1</v>
      </c>
      <c r="E1323" t="s">
        <v>1447</v>
      </c>
      <c r="F1323" t="s">
        <v>2122</v>
      </c>
      <c r="G1323" t="s">
        <v>1791</v>
      </c>
      <c r="H1323" t="s">
        <v>2279</v>
      </c>
      <c r="I1323" t="s">
        <v>2279</v>
      </c>
      <c r="J1323" t="s">
        <v>2279</v>
      </c>
      <c r="K1323" t="s">
        <v>2410</v>
      </c>
      <c r="L1323" t="s">
        <v>2279</v>
      </c>
      <c r="M1323" t="s">
        <v>2279</v>
      </c>
      <c r="N1323" t="s">
        <v>2279</v>
      </c>
      <c r="O1323" s="190" t="str">
        <f>"["&amp;$C1323&amp;"]["&amp;$D1323&amp;"]["&amp;$F1323&amp;"]"</f>
        <v>[S10_InstallationsPenaltiesImposed][1][ACtualOtherPenalties]</v>
      </c>
    </row>
    <row r="1324" spans="1:15" x14ac:dyDescent="0.3">
      <c r="A1324" t="s">
        <v>2277</v>
      </c>
      <c r="B1324" t="s">
        <v>2154</v>
      </c>
      <c r="C1324" t="s">
        <v>2155</v>
      </c>
      <c r="D1324">
        <v>2</v>
      </c>
      <c r="E1324" t="s">
        <v>1447</v>
      </c>
      <c r="F1324" t="s">
        <v>2122</v>
      </c>
      <c r="G1324" t="s">
        <v>1791</v>
      </c>
      <c r="H1324" t="s">
        <v>2279</v>
      </c>
      <c r="I1324" t="s">
        <v>2279</v>
      </c>
      <c r="J1324" t="s">
        <v>2279</v>
      </c>
      <c r="K1324" t="s">
        <v>2410</v>
      </c>
      <c r="L1324" t="s">
        <v>2279</v>
      </c>
      <c r="M1324" t="s">
        <v>2279</v>
      </c>
      <c r="N1324" t="s">
        <v>2279</v>
      </c>
      <c r="O1324" s="190" t="str">
        <f>"["&amp;$C1324&amp;"]["&amp;$D1324&amp;"]["&amp;$F1324&amp;"]"</f>
        <v>[S10_InstallationsPenaltiesImposed][2][ACtualOtherPenalties]</v>
      </c>
    </row>
    <row r="1325" spans="1:15" x14ac:dyDescent="0.3">
      <c r="A1325" t="s">
        <v>2277</v>
      </c>
      <c r="B1325" t="s">
        <v>2154</v>
      </c>
      <c r="C1325" t="s">
        <v>2155</v>
      </c>
      <c r="D1325">
        <v>1</v>
      </c>
      <c r="E1325" t="s">
        <v>1447</v>
      </c>
      <c r="F1325" t="s">
        <v>2123</v>
      </c>
      <c r="G1325" t="s">
        <v>1759</v>
      </c>
      <c r="H1325" t="s">
        <v>2279</v>
      </c>
      <c r="I1325" t="s">
        <v>2279</v>
      </c>
      <c r="J1325" t="s">
        <v>2279</v>
      </c>
      <c r="K1325" t="s">
        <v>2279</v>
      </c>
      <c r="L1325" t="s">
        <v>1419</v>
      </c>
      <c r="M1325" t="s">
        <v>2279</v>
      </c>
      <c r="N1325" t="s">
        <v>2279</v>
      </c>
      <c r="O1325" s="190" t="str">
        <f>"["&amp;$C1325&amp;"]["&amp;$D1325&amp;"]["&amp;$F1325&amp;"]"</f>
        <v>[S10_InstallationsPenaltiesImposed][1][OngoingProceedings]</v>
      </c>
    </row>
    <row r="1326" spans="1:15" x14ac:dyDescent="0.3">
      <c r="A1326" t="s">
        <v>2277</v>
      </c>
      <c r="B1326" t="s">
        <v>2154</v>
      </c>
      <c r="C1326" t="s">
        <v>2155</v>
      </c>
      <c r="D1326">
        <v>2</v>
      </c>
      <c r="E1326" t="s">
        <v>1447</v>
      </c>
      <c r="F1326" t="s">
        <v>2123</v>
      </c>
      <c r="G1326" t="s">
        <v>1759</v>
      </c>
      <c r="H1326" t="s">
        <v>2279</v>
      </c>
      <c r="I1326" t="s">
        <v>2279</v>
      </c>
      <c r="J1326" t="s">
        <v>2279</v>
      </c>
      <c r="K1326" t="s">
        <v>2279</v>
      </c>
      <c r="L1326" t="s">
        <v>1419</v>
      </c>
      <c r="M1326" t="s">
        <v>2279</v>
      </c>
      <c r="N1326" t="s">
        <v>2279</v>
      </c>
      <c r="O1326" s="190" t="str">
        <f>"["&amp;$C1326&amp;"]["&amp;$D1326&amp;"]["&amp;$F1326&amp;"]"</f>
        <v>[S10_InstallationsPenaltiesImposed][2][OngoingProceedings]</v>
      </c>
    </row>
    <row r="1327" spans="1:15" x14ac:dyDescent="0.3">
      <c r="A1327" t="s">
        <v>2277</v>
      </c>
      <c r="B1327" t="s">
        <v>2154</v>
      </c>
      <c r="C1327" t="s">
        <v>2155</v>
      </c>
      <c r="D1327">
        <v>1</v>
      </c>
      <c r="E1327" t="s">
        <v>1447</v>
      </c>
      <c r="F1327" t="s">
        <v>2124</v>
      </c>
      <c r="G1327" t="s">
        <v>1759</v>
      </c>
      <c r="H1327" t="s">
        <v>2279</v>
      </c>
      <c r="I1327" t="s">
        <v>2279</v>
      </c>
      <c r="J1327" t="s">
        <v>2279</v>
      </c>
      <c r="K1327" t="s">
        <v>2279</v>
      </c>
      <c r="L1327" t="s">
        <v>1447</v>
      </c>
      <c r="M1327" t="s">
        <v>2279</v>
      </c>
      <c r="N1327" t="s">
        <v>2279</v>
      </c>
      <c r="O1327" s="190" t="str">
        <f>"["&amp;$C1327&amp;"]["&amp;$D1327&amp;"]["&amp;$F1327&amp;"]"</f>
        <v>[S10_InstallationsPenaltiesImposed][1][PenaltyEnforcedWithinPeriod]</v>
      </c>
    </row>
    <row r="1328" spans="1:15" x14ac:dyDescent="0.3">
      <c r="A1328" t="s">
        <v>2277</v>
      </c>
      <c r="B1328" t="s">
        <v>2154</v>
      </c>
      <c r="C1328" t="s">
        <v>2155</v>
      </c>
      <c r="D1328">
        <v>2</v>
      </c>
      <c r="E1328" t="s">
        <v>1447</v>
      </c>
      <c r="F1328" t="s">
        <v>2124</v>
      </c>
      <c r="G1328" t="s">
        <v>1759</v>
      </c>
      <c r="H1328" t="s">
        <v>2279</v>
      </c>
      <c r="I1328" t="s">
        <v>2279</v>
      </c>
      <c r="J1328" t="s">
        <v>2279</v>
      </c>
      <c r="K1328" t="s">
        <v>2279</v>
      </c>
      <c r="L1328" t="s">
        <v>1447</v>
      </c>
      <c r="M1328" t="s">
        <v>2279</v>
      </c>
      <c r="N1328" t="s">
        <v>2279</v>
      </c>
      <c r="O1328" s="190" t="str">
        <f>"["&amp;$C1328&amp;"]["&amp;$D1328&amp;"]["&amp;$F1328&amp;"]"</f>
        <v>[S10_InstallationsPenaltiesImposed][2][PenaltyEnforcedWithinPeriod]</v>
      </c>
    </row>
    <row r="1329" spans="1:15" x14ac:dyDescent="0.3">
      <c r="A1329" t="s">
        <v>2277</v>
      </c>
      <c r="B1329" t="s">
        <v>2154</v>
      </c>
      <c r="C1329" t="s">
        <v>2156</v>
      </c>
      <c r="D1329">
        <v>0</v>
      </c>
      <c r="E1329" t="s">
        <v>1447</v>
      </c>
      <c r="F1329" t="s">
        <v>2156</v>
      </c>
      <c r="G1329" t="s">
        <v>1759</v>
      </c>
      <c r="H1329" t="s">
        <v>2279</v>
      </c>
      <c r="I1329" t="s">
        <v>2279</v>
      </c>
      <c r="J1329" t="s">
        <v>2279</v>
      </c>
      <c r="K1329" t="s">
        <v>2279</v>
      </c>
      <c r="L1329" t="s">
        <v>1447</v>
      </c>
      <c r="M1329" t="s">
        <v>2279</v>
      </c>
      <c r="N1329" t="s">
        <v>2279</v>
      </c>
      <c r="O1329" s="190" t="str">
        <f>"["&amp;$C1329&amp;"]["&amp;$D1329&amp;"]["&amp;$F1329&amp;"]"</f>
        <v>[InstallationsPriorPenaltiesEnforced][0][InstallationsPriorPenaltiesEnforced]</v>
      </c>
    </row>
    <row r="1330" spans="1:15" x14ac:dyDescent="0.3">
      <c r="A1330" t="s">
        <v>2277</v>
      </c>
      <c r="B1330" t="s">
        <v>2158</v>
      </c>
      <c r="C1330" t="s">
        <v>2159</v>
      </c>
      <c r="D1330">
        <v>1</v>
      </c>
      <c r="E1330" t="s">
        <v>1447</v>
      </c>
      <c r="F1330" t="s">
        <v>1868</v>
      </c>
      <c r="G1330" t="s">
        <v>1741</v>
      </c>
      <c r="H1330" t="s">
        <v>2411</v>
      </c>
      <c r="I1330" t="s">
        <v>2279</v>
      </c>
      <c r="J1330" t="s">
        <v>2279</v>
      </c>
      <c r="K1330" t="s">
        <v>2279</v>
      </c>
      <c r="L1330" t="s">
        <v>2279</v>
      </c>
      <c r="M1330" t="s">
        <v>2279</v>
      </c>
      <c r="N1330" t="s">
        <v>2279</v>
      </c>
      <c r="O1330" s="190" t="str">
        <f>"["&amp;$C1330&amp;"]["&amp;$D1330&amp;"]["&amp;$F1330&amp;"]"</f>
        <v>[S10_InstallationPenalties][1][InstallationID]</v>
      </c>
    </row>
    <row r="1331" spans="1:15" x14ac:dyDescent="0.3">
      <c r="A1331" t="s">
        <v>2277</v>
      </c>
      <c r="B1331" t="s">
        <v>2158</v>
      </c>
      <c r="C1331" t="s">
        <v>2159</v>
      </c>
      <c r="D1331">
        <v>2</v>
      </c>
      <c r="E1331" t="s">
        <v>1447</v>
      </c>
      <c r="F1331" t="s">
        <v>1868</v>
      </c>
      <c r="G1331" t="s">
        <v>1741</v>
      </c>
      <c r="H1331" t="s">
        <v>2412</v>
      </c>
      <c r="I1331" t="s">
        <v>2279</v>
      </c>
      <c r="J1331" t="s">
        <v>2279</v>
      </c>
      <c r="K1331" t="s">
        <v>2279</v>
      </c>
      <c r="L1331" t="s">
        <v>2279</v>
      </c>
      <c r="M1331" t="s">
        <v>2279</v>
      </c>
      <c r="N1331" t="s">
        <v>2279</v>
      </c>
      <c r="O1331" s="190" t="str">
        <f>"["&amp;$C1331&amp;"]["&amp;$D1331&amp;"]["&amp;$F1331&amp;"]"</f>
        <v>[S10_InstallationPenalties][2][InstallationID]</v>
      </c>
    </row>
    <row r="1332" spans="1:15" x14ac:dyDescent="0.3">
      <c r="A1332" t="s">
        <v>2277</v>
      </c>
      <c r="B1332" t="s">
        <v>2158</v>
      </c>
      <c r="C1332" t="s">
        <v>2159</v>
      </c>
      <c r="D1332">
        <v>1</v>
      </c>
      <c r="E1332" t="s">
        <v>1447</v>
      </c>
      <c r="F1332" t="s">
        <v>2044</v>
      </c>
      <c r="G1332" t="s">
        <v>1741</v>
      </c>
      <c r="H1332" t="s">
        <v>2413</v>
      </c>
      <c r="I1332" t="s">
        <v>2279</v>
      </c>
      <c r="J1332" t="s">
        <v>2279</v>
      </c>
      <c r="K1332" t="s">
        <v>2279</v>
      </c>
      <c r="L1332" t="s">
        <v>2279</v>
      </c>
      <c r="M1332" t="s">
        <v>2279</v>
      </c>
      <c r="N1332" t="s">
        <v>2279</v>
      </c>
      <c r="O1332" s="190" t="str">
        <f>"["&amp;$C1332&amp;"]["&amp;$D1332&amp;"]["&amp;$F1332&amp;"]"</f>
        <v>[S10_InstallationPenalties][1][OperatorName]</v>
      </c>
    </row>
    <row r="1333" spans="1:15" x14ac:dyDescent="0.3">
      <c r="A1333" t="s">
        <v>2277</v>
      </c>
      <c r="B1333" t="s">
        <v>2158</v>
      </c>
      <c r="C1333" t="s">
        <v>2159</v>
      </c>
      <c r="D1333">
        <v>2</v>
      </c>
      <c r="E1333" t="s">
        <v>1447</v>
      </c>
      <c r="F1333" t="s">
        <v>2044</v>
      </c>
      <c r="G1333" t="s">
        <v>1741</v>
      </c>
      <c r="H1333" t="s">
        <v>2414</v>
      </c>
      <c r="I1333" t="s">
        <v>2279</v>
      </c>
      <c r="J1333" t="s">
        <v>2279</v>
      </c>
      <c r="K1333" t="s">
        <v>2279</v>
      </c>
      <c r="L1333" t="s">
        <v>2279</v>
      </c>
      <c r="M1333" t="s">
        <v>2279</v>
      </c>
      <c r="N1333" t="s">
        <v>2279</v>
      </c>
      <c r="O1333" s="190" t="str">
        <f>"["&amp;$C1333&amp;"]["&amp;$D1333&amp;"]["&amp;$F1333&amp;"]"</f>
        <v>[S10_InstallationPenalties][2][OperatorName]</v>
      </c>
    </row>
    <row r="1334" spans="1:15" x14ac:dyDescent="0.3">
      <c r="A1334" t="s">
        <v>2277</v>
      </c>
      <c r="B1334" t="s">
        <v>2160</v>
      </c>
      <c r="C1334" t="s">
        <v>2161</v>
      </c>
      <c r="D1334">
        <v>1</v>
      </c>
      <c r="E1334" t="s">
        <v>1447</v>
      </c>
      <c r="F1334" t="s">
        <v>2148</v>
      </c>
      <c r="G1334" t="s">
        <v>1759</v>
      </c>
      <c r="H1334" t="s">
        <v>2279</v>
      </c>
      <c r="I1334" t="s">
        <v>2279</v>
      </c>
      <c r="J1334" t="s">
        <v>2279</v>
      </c>
      <c r="K1334" t="s">
        <v>2279</v>
      </c>
      <c r="L1334" t="s">
        <v>1447</v>
      </c>
      <c r="M1334" t="s">
        <v>2279</v>
      </c>
      <c r="N1334" t="s">
        <v>2279</v>
      </c>
      <c r="O1334" s="190" t="str">
        <f>"["&amp;$C1334&amp;"]["&amp;$D1334&amp;"]["&amp;$F1334&amp;"]"</f>
        <v>[S10_AircraftComplianceMeasures][1][ComplianceMeasuresYesNo]</v>
      </c>
    </row>
    <row r="1335" spans="1:15" x14ac:dyDescent="0.3">
      <c r="A1335" t="s">
        <v>2277</v>
      </c>
      <c r="B1335" t="s">
        <v>2160</v>
      </c>
      <c r="C1335" t="s">
        <v>2161</v>
      </c>
      <c r="D1335">
        <v>2</v>
      </c>
      <c r="E1335" t="s">
        <v>1447</v>
      </c>
      <c r="F1335" t="s">
        <v>2148</v>
      </c>
      <c r="G1335" t="s">
        <v>1759</v>
      </c>
      <c r="H1335" t="s">
        <v>2279</v>
      </c>
      <c r="I1335" t="s">
        <v>2279</v>
      </c>
      <c r="J1335" t="s">
        <v>2279</v>
      </c>
      <c r="K1335" t="s">
        <v>2279</v>
      </c>
      <c r="L1335" t="s">
        <v>1419</v>
      </c>
      <c r="M1335" t="s">
        <v>2279</v>
      </c>
      <c r="N1335" t="s">
        <v>2279</v>
      </c>
      <c r="O1335" s="190" t="str">
        <f>"["&amp;$C1335&amp;"]["&amp;$D1335&amp;"]["&amp;$F1335&amp;"]"</f>
        <v>[S10_AircraftComplianceMeasures][2][ComplianceMeasuresYesNo]</v>
      </c>
    </row>
    <row r="1336" spans="1:15" x14ac:dyDescent="0.3">
      <c r="A1336" t="s">
        <v>2277</v>
      </c>
      <c r="B1336" t="s">
        <v>2160</v>
      </c>
      <c r="C1336" t="s">
        <v>2161</v>
      </c>
      <c r="D1336">
        <v>3</v>
      </c>
      <c r="E1336" t="s">
        <v>1447</v>
      </c>
      <c r="F1336" t="s">
        <v>2148</v>
      </c>
      <c r="G1336" t="s">
        <v>1759</v>
      </c>
      <c r="H1336" t="s">
        <v>2279</v>
      </c>
      <c r="I1336" t="s">
        <v>2279</v>
      </c>
      <c r="J1336" t="s">
        <v>2279</v>
      </c>
      <c r="K1336" t="s">
        <v>2279</v>
      </c>
      <c r="L1336" t="s">
        <v>1419</v>
      </c>
      <c r="M1336" t="s">
        <v>2279</v>
      </c>
      <c r="N1336" t="s">
        <v>2279</v>
      </c>
      <c r="O1336" s="190" t="str">
        <f>"["&amp;$C1336&amp;"]["&amp;$D1336&amp;"]["&amp;$F1336&amp;"]"</f>
        <v>[S10_AircraftComplianceMeasures][3][ComplianceMeasuresYesNo]</v>
      </c>
    </row>
    <row r="1337" spans="1:15" x14ac:dyDescent="0.3">
      <c r="A1337" t="s">
        <v>2277</v>
      </c>
      <c r="B1337" t="s">
        <v>2160</v>
      </c>
      <c r="C1337" t="s">
        <v>2161</v>
      </c>
      <c r="D1337">
        <v>4</v>
      </c>
      <c r="E1337" t="s">
        <v>1447</v>
      </c>
      <c r="F1337" t="s">
        <v>2148</v>
      </c>
      <c r="G1337" t="s">
        <v>1759</v>
      </c>
      <c r="H1337" t="s">
        <v>2279</v>
      </c>
      <c r="I1337" t="s">
        <v>2279</v>
      </c>
      <c r="J1337" t="s">
        <v>2279</v>
      </c>
      <c r="K1337" t="s">
        <v>2279</v>
      </c>
      <c r="L1337" t="s">
        <v>1447</v>
      </c>
      <c r="M1337" t="s">
        <v>2279</v>
      </c>
      <c r="N1337" t="s">
        <v>2279</v>
      </c>
      <c r="O1337" s="190" t="str">
        <f>"["&amp;$C1337&amp;"]["&amp;$D1337&amp;"]["&amp;$F1337&amp;"]"</f>
        <v>[S10_AircraftComplianceMeasures][4][ComplianceMeasuresYesNo]</v>
      </c>
    </row>
    <row r="1338" spans="1:15" x14ac:dyDescent="0.3">
      <c r="A1338" t="s">
        <v>2277</v>
      </c>
      <c r="B1338" t="s">
        <v>2160</v>
      </c>
      <c r="C1338" t="s">
        <v>2161</v>
      </c>
      <c r="D1338">
        <v>2</v>
      </c>
      <c r="E1338" t="s">
        <v>1447</v>
      </c>
      <c r="F1338" t="s">
        <v>2149</v>
      </c>
      <c r="G1338" t="s">
        <v>1791</v>
      </c>
      <c r="H1338" t="s">
        <v>2279</v>
      </c>
      <c r="I1338" t="s">
        <v>2279</v>
      </c>
      <c r="J1338" t="s">
        <v>2279</v>
      </c>
      <c r="K1338" t="s">
        <v>2403</v>
      </c>
      <c r="L1338" t="s">
        <v>2279</v>
      </c>
      <c r="M1338" t="s">
        <v>2279</v>
      </c>
      <c r="N1338" t="s">
        <v>2279</v>
      </c>
      <c r="O1338" s="190" t="str">
        <f>"["&amp;$C1338&amp;"]["&amp;$D1338&amp;"]["&amp;$F1338&amp;"]"</f>
        <v>[S10_AircraftComplianceMeasures][2][ComplianceMeasuresComment]</v>
      </c>
    </row>
    <row r="1339" spans="1:15" x14ac:dyDescent="0.3">
      <c r="A1339" t="s">
        <v>2277</v>
      </c>
      <c r="B1339" t="s">
        <v>2160</v>
      </c>
      <c r="C1339" t="s">
        <v>2161</v>
      </c>
      <c r="D1339">
        <v>3</v>
      </c>
      <c r="E1339" t="s">
        <v>1447</v>
      </c>
      <c r="F1339" t="s">
        <v>2149</v>
      </c>
      <c r="G1339" t="s">
        <v>1791</v>
      </c>
      <c r="H1339" t="s">
        <v>2279</v>
      </c>
      <c r="I1339" t="s">
        <v>2279</v>
      </c>
      <c r="J1339" t="s">
        <v>2279</v>
      </c>
      <c r="K1339" t="s">
        <v>2404</v>
      </c>
      <c r="L1339" t="s">
        <v>2279</v>
      </c>
      <c r="M1339" t="s">
        <v>2279</v>
      </c>
      <c r="N1339" t="s">
        <v>2279</v>
      </c>
      <c r="O1339" s="190" t="str">
        <f>"["&amp;$C1339&amp;"]["&amp;$D1339&amp;"]["&amp;$F1339&amp;"]"</f>
        <v>[S10_AircraftComplianceMeasures][3][ComplianceMeasuresComment]</v>
      </c>
    </row>
    <row r="1340" spans="1:15" x14ac:dyDescent="0.3">
      <c r="A1340" t="s">
        <v>2277</v>
      </c>
      <c r="B1340" t="s">
        <v>2162</v>
      </c>
      <c r="C1340" t="s">
        <v>2163</v>
      </c>
      <c r="D1340">
        <v>1</v>
      </c>
      <c r="E1340" t="s">
        <v>1447</v>
      </c>
      <c r="F1340" t="s">
        <v>2111</v>
      </c>
      <c r="G1340" t="s">
        <v>1806</v>
      </c>
      <c r="H1340" t="s">
        <v>2279</v>
      </c>
      <c r="I1340" t="s">
        <v>2279</v>
      </c>
      <c r="J1340">
        <v>0</v>
      </c>
      <c r="K1340" t="s">
        <v>2279</v>
      </c>
      <c r="L1340" t="s">
        <v>2279</v>
      </c>
      <c r="M1340" t="s">
        <v>2279</v>
      </c>
      <c r="N1340" t="s">
        <v>2279</v>
      </c>
      <c r="O1340" s="190" t="str">
        <f>"["&amp;$C1340&amp;"]["&amp;$D1340&amp;"]["&amp;$F1340&amp;"]"</f>
        <v>[S10_AircraftInfringementPenalties][1][MinFine]</v>
      </c>
    </row>
    <row r="1341" spans="1:15" x14ac:dyDescent="0.3">
      <c r="A1341" t="s">
        <v>2277</v>
      </c>
      <c r="B1341" t="s">
        <v>2162</v>
      </c>
      <c r="C1341" t="s">
        <v>2163</v>
      </c>
      <c r="D1341">
        <v>3</v>
      </c>
      <c r="E1341" t="s">
        <v>1447</v>
      </c>
      <c r="F1341" t="s">
        <v>2111</v>
      </c>
      <c r="G1341" t="s">
        <v>1806</v>
      </c>
      <c r="H1341" t="s">
        <v>2279</v>
      </c>
      <c r="I1341" t="s">
        <v>2279</v>
      </c>
      <c r="J1341">
        <v>0</v>
      </c>
      <c r="K1341" t="s">
        <v>2279</v>
      </c>
      <c r="L1341" t="s">
        <v>2279</v>
      </c>
      <c r="M1341" t="s">
        <v>2279</v>
      </c>
      <c r="N1341" t="s">
        <v>2279</v>
      </c>
      <c r="O1341" s="190" t="str">
        <f>"["&amp;$C1341&amp;"]["&amp;$D1341&amp;"]["&amp;$F1341&amp;"]"</f>
        <v>[S10_AircraftInfringementPenalties][3][MinFine]</v>
      </c>
    </row>
    <row r="1342" spans="1:15" x14ac:dyDescent="0.3">
      <c r="A1342" t="s">
        <v>2277</v>
      </c>
      <c r="B1342" t="s">
        <v>2162</v>
      </c>
      <c r="C1342" t="s">
        <v>2163</v>
      </c>
      <c r="D1342">
        <v>4</v>
      </c>
      <c r="E1342" t="s">
        <v>1447</v>
      </c>
      <c r="F1342" t="s">
        <v>2111</v>
      </c>
      <c r="G1342" t="s">
        <v>1806</v>
      </c>
      <c r="H1342" t="s">
        <v>2279</v>
      </c>
      <c r="I1342" t="s">
        <v>2279</v>
      </c>
      <c r="J1342">
        <v>0</v>
      </c>
      <c r="K1342" t="s">
        <v>2279</v>
      </c>
      <c r="L1342" t="s">
        <v>2279</v>
      </c>
      <c r="M1342" t="s">
        <v>2279</v>
      </c>
      <c r="N1342" t="s">
        <v>2279</v>
      </c>
      <c r="O1342" s="190" t="str">
        <f>"["&amp;$C1342&amp;"]["&amp;$D1342&amp;"]["&amp;$F1342&amp;"]"</f>
        <v>[S10_AircraftInfringementPenalties][4][MinFine]</v>
      </c>
    </row>
    <row r="1343" spans="1:15" x14ac:dyDescent="0.3">
      <c r="A1343" t="s">
        <v>2277</v>
      </c>
      <c r="B1343" t="s">
        <v>2162</v>
      </c>
      <c r="C1343" t="s">
        <v>2163</v>
      </c>
      <c r="D1343">
        <v>6</v>
      </c>
      <c r="E1343" t="s">
        <v>1447</v>
      </c>
      <c r="F1343" t="s">
        <v>2111</v>
      </c>
      <c r="G1343" t="s">
        <v>1806</v>
      </c>
      <c r="H1343" t="s">
        <v>2279</v>
      </c>
      <c r="I1343" t="s">
        <v>2279</v>
      </c>
      <c r="J1343">
        <v>0</v>
      </c>
      <c r="K1343" t="s">
        <v>2279</v>
      </c>
      <c r="L1343" t="s">
        <v>2279</v>
      </c>
      <c r="M1343" t="s">
        <v>2279</v>
      </c>
      <c r="N1343" t="s">
        <v>2279</v>
      </c>
      <c r="O1343" s="190" t="str">
        <f>"["&amp;$C1343&amp;"]["&amp;$D1343&amp;"]["&amp;$F1343&amp;"]"</f>
        <v>[S10_AircraftInfringementPenalties][6][MinFine]</v>
      </c>
    </row>
    <row r="1344" spans="1:15" x14ac:dyDescent="0.3">
      <c r="A1344" t="s">
        <v>2277</v>
      </c>
      <c r="B1344" t="s">
        <v>2162</v>
      </c>
      <c r="C1344" t="s">
        <v>2163</v>
      </c>
      <c r="D1344">
        <v>12</v>
      </c>
      <c r="E1344" t="s">
        <v>1447</v>
      </c>
      <c r="F1344" t="s">
        <v>2111</v>
      </c>
      <c r="G1344" t="s">
        <v>1806</v>
      </c>
      <c r="H1344" t="s">
        <v>2279</v>
      </c>
      <c r="I1344" t="s">
        <v>2279</v>
      </c>
      <c r="J1344">
        <v>0</v>
      </c>
      <c r="K1344" t="s">
        <v>2279</v>
      </c>
      <c r="L1344" t="s">
        <v>2279</v>
      </c>
      <c r="M1344" t="s">
        <v>2279</v>
      </c>
      <c r="N1344" t="s">
        <v>2279</v>
      </c>
      <c r="O1344" s="190" t="str">
        <f>"["&amp;$C1344&amp;"]["&amp;$D1344&amp;"]["&amp;$F1344&amp;"]"</f>
        <v>[S10_AircraftInfringementPenalties][12][MinFine]</v>
      </c>
    </row>
    <row r="1345" spans="1:15" x14ac:dyDescent="0.3">
      <c r="A1345" t="s">
        <v>2277</v>
      </c>
      <c r="B1345" t="s">
        <v>2162</v>
      </c>
      <c r="C1345" t="s">
        <v>2163</v>
      </c>
      <c r="D1345">
        <v>1</v>
      </c>
      <c r="E1345" t="s">
        <v>1447</v>
      </c>
      <c r="F1345" t="s">
        <v>2112</v>
      </c>
      <c r="G1345" t="s">
        <v>1806</v>
      </c>
      <c r="H1345" t="s">
        <v>2279</v>
      </c>
      <c r="I1345" t="s">
        <v>2279</v>
      </c>
      <c r="J1345">
        <v>800000</v>
      </c>
      <c r="K1345" t="s">
        <v>2279</v>
      </c>
      <c r="L1345" t="s">
        <v>2279</v>
      </c>
      <c r="M1345" t="s">
        <v>2279</v>
      </c>
      <c r="N1345" t="s">
        <v>2279</v>
      </c>
      <c r="O1345" s="190" t="str">
        <f>"["&amp;$C1345&amp;"]["&amp;$D1345&amp;"]["&amp;$F1345&amp;"]"</f>
        <v>[S10_AircraftInfringementPenalties][1][MaxFine]</v>
      </c>
    </row>
    <row r="1346" spans="1:15" x14ac:dyDescent="0.3">
      <c r="A1346" t="s">
        <v>2277</v>
      </c>
      <c r="B1346" t="s">
        <v>2162</v>
      </c>
      <c r="C1346" t="s">
        <v>2163</v>
      </c>
      <c r="D1346">
        <v>3</v>
      </c>
      <c r="E1346" t="s">
        <v>1447</v>
      </c>
      <c r="F1346" t="s">
        <v>2112</v>
      </c>
      <c r="G1346" t="s">
        <v>1806</v>
      </c>
      <c r="H1346" t="s">
        <v>2279</v>
      </c>
      <c r="I1346" t="s">
        <v>2279</v>
      </c>
      <c r="J1346">
        <v>800000</v>
      </c>
      <c r="K1346" t="s">
        <v>2279</v>
      </c>
      <c r="L1346" t="s">
        <v>2279</v>
      </c>
      <c r="M1346" t="s">
        <v>2279</v>
      </c>
      <c r="N1346" t="s">
        <v>2279</v>
      </c>
      <c r="O1346" s="190" t="str">
        <f>"["&amp;$C1346&amp;"]["&amp;$D1346&amp;"]["&amp;$F1346&amp;"]"</f>
        <v>[S10_AircraftInfringementPenalties][3][MaxFine]</v>
      </c>
    </row>
    <row r="1347" spans="1:15" x14ac:dyDescent="0.3">
      <c r="A1347" t="s">
        <v>2277</v>
      </c>
      <c r="B1347" t="s">
        <v>2162</v>
      </c>
      <c r="C1347" t="s">
        <v>2163</v>
      </c>
      <c r="D1347">
        <v>4</v>
      </c>
      <c r="E1347" t="s">
        <v>1447</v>
      </c>
      <c r="F1347" t="s">
        <v>2112</v>
      </c>
      <c r="G1347" t="s">
        <v>1806</v>
      </c>
      <c r="H1347" t="s">
        <v>2279</v>
      </c>
      <c r="I1347" t="s">
        <v>2279</v>
      </c>
      <c r="J1347">
        <v>20000</v>
      </c>
      <c r="K1347" t="s">
        <v>2279</v>
      </c>
      <c r="L1347" t="s">
        <v>2279</v>
      </c>
      <c r="M1347" t="s">
        <v>2279</v>
      </c>
      <c r="N1347" t="s">
        <v>2279</v>
      </c>
      <c r="O1347" s="190" t="str">
        <f>"["&amp;$C1347&amp;"]["&amp;$D1347&amp;"]["&amp;$F1347&amp;"]"</f>
        <v>[S10_AircraftInfringementPenalties][4][MaxFine]</v>
      </c>
    </row>
    <row r="1348" spans="1:15" x14ac:dyDescent="0.3">
      <c r="A1348" t="s">
        <v>2277</v>
      </c>
      <c r="B1348" t="s">
        <v>2162</v>
      </c>
      <c r="C1348" t="s">
        <v>2163</v>
      </c>
      <c r="D1348">
        <v>6</v>
      </c>
      <c r="E1348" t="s">
        <v>1447</v>
      </c>
      <c r="F1348" t="s">
        <v>2112</v>
      </c>
      <c r="G1348" t="s">
        <v>1806</v>
      </c>
      <c r="H1348" t="s">
        <v>2279</v>
      </c>
      <c r="I1348" t="s">
        <v>2279</v>
      </c>
      <c r="J1348">
        <v>20000</v>
      </c>
      <c r="K1348" t="s">
        <v>2279</v>
      </c>
      <c r="L1348" t="s">
        <v>2279</v>
      </c>
      <c r="M1348" t="s">
        <v>2279</v>
      </c>
      <c r="N1348" t="s">
        <v>2279</v>
      </c>
      <c r="O1348" s="190" t="str">
        <f>"["&amp;$C1348&amp;"]["&amp;$D1348&amp;"]["&amp;$F1348&amp;"]"</f>
        <v>[S10_AircraftInfringementPenalties][6][MaxFine]</v>
      </c>
    </row>
    <row r="1349" spans="1:15" x14ac:dyDescent="0.3">
      <c r="A1349" t="s">
        <v>2277</v>
      </c>
      <c r="B1349" t="s">
        <v>2162</v>
      </c>
      <c r="C1349" t="s">
        <v>2163</v>
      </c>
      <c r="D1349">
        <v>9</v>
      </c>
      <c r="E1349" t="s">
        <v>1447</v>
      </c>
      <c r="F1349" t="s">
        <v>2112</v>
      </c>
      <c r="G1349" t="s">
        <v>1806</v>
      </c>
      <c r="H1349" t="s">
        <v>2279</v>
      </c>
      <c r="I1349" t="s">
        <v>2279</v>
      </c>
      <c r="J1349">
        <v>800000</v>
      </c>
      <c r="K1349" t="s">
        <v>2279</v>
      </c>
      <c r="L1349" t="s">
        <v>2279</v>
      </c>
      <c r="M1349" t="s">
        <v>2279</v>
      </c>
      <c r="N1349" t="s">
        <v>2279</v>
      </c>
      <c r="O1349" s="190" t="str">
        <f>"["&amp;$C1349&amp;"]["&amp;$D1349&amp;"]["&amp;$F1349&amp;"]"</f>
        <v>[S10_AircraftInfringementPenalties][9][MaxFine]</v>
      </c>
    </row>
    <row r="1350" spans="1:15" x14ac:dyDescent="0.3">
      <c r="A1350" t="s">
        <v>2277</v>
      </c>
      <c r="B1350" t="s">
        <v>2162</v>
      </c>
      <c r="C1350" t="s">
        <v>2163</v>
      </c>
      <c r="D1350">
        <v>12</v>
      </c>
      <c r="E1350" t="s">
        <v>1447</v>
      </c>
      <c r="F1350" t="s">
        <v>2112</v>
      </c>
      <c r="G1350" t="s">
        <v>1806</v>
      </c>
      <c r="H1350" t="s">
        <v>2279</v>
      </c>
      <c r="I1350" t="s">
        <v>2279</v>
      </c>
      <c r="J1350">
        <v>4000</v>
      </c>
      <c r="K1350" t="s">
        <v>2279</v>
      </c>
      <c r="L1350" t="s">
        <v>2279</v>
      </c>
      <c r="M1350" t="s">
        <v>2279</v>
      </c>
      <c r="N1350" t="s">
        <v>2279</v>
      </c>
      <c r="O1350" s="190" t="str">
        <f>"["&amp;$C1350&amp;"]["&amp;$D1350&amp;"]["&amp;$F1350&amp;"]"</f>
        <v>[S10_AircraftInfringementPenalties][12][MaxFine]</v>
      </c>
    </row>
    <row r="1351" spans="1:15" x14ac:dyDescent="0.3">
      <c r="A1351" t="s">
        <v>2277</v>
      </c>
      <c r="B1351" t="s">
        <v>2162</v>
      </c>
      <c r="C1351" t="s">
        <v>2163</v>
      </c>
      <c r="D1351">
        <v>13</v>
      </c>
      <c r="E1351" t="s">
        <v>1447</v>
      </c>
      <c r="F1351" t="s">
        <v>2112</v>
      </c>
      <c r="G1351" t="s">
        <v>1806</v>
      </c>
      <c r="H1351" t="s">
        <v>2279</v>
      </c>
      <c r="I1351" t="s">
        <v>2279</v>
      </c>
      <c r="J1351">
        <v>100</v>
      </c>
      <c r="K1351" t="s">
        <v>2279</v>
      </c>
      <c r="L1351" t="s">
        <v>2279</v>
      </c>
      <c r="M1351" t="s">
        <v>2279</v>
      </c>
      <c r="N1351" t="s">
        <v>2279</v>
      </c>
      <c r="O1351" s="190" t="str">
        <f>"["&amp;$C1351&amp;"]["&amp;$D1351&amp;"]["&amp;$F1351&amp;"]"</f>
        <v>[S10_AircraftInfringementPenalties][13][MaxFine]</v>
      </c>
    </row>
    <row r="1352" spans="1:15" x14ac:dyDescent="0.3">
      <c r="A1352" t="s">
        <v>2277</v>
      </c>
      <c r="B1352" t="s">
        <v>2162</v>
      </c>
      <c r="C1352" t="s">
        <v>2163</v>
      </c>
      <c r="D1352">
        <v>13</v>
      </c>
      <c r="E1352" t="s">
        <v>1447</v>
      </c>
      <c r="F1352" t="s">
        <v>2115</v>
      </c>
      <c r="G1352" t="s">
        <v>1791</v>
      </c>
      <c r="H1352" t="s">
        <v>2279</v>
      </c>
      <c r="I1352" t="s">
        <v>2279</v>
      </c>
      <c r="J1352" t="s">
        <v>2279</v>
      </c>
      <c r="K1352" t="s">
        <v>2405</v>
      </c>
      <c r="L1352" t="s">
        <v>2279</v>
      </c>
      <c r="M1352" t="s">
        <v>2279</v>
      </c>
      <c r="N1352" t="s">
        <v>2279</v>
      </c>
      <c r="O1352" s="190" t="str">
        <f>"["&amp;$C1352&amp;"]["&amp;$D1352&amp;"]["&amp;$F1352&amp;"]"</f>
        <v>[S10_AircraftInfringementPenalties][13][OtherPenalty]</v>
      </c>
    </row>
    <row r="1353" spans="1:15" x14ac:dyDescent="0.3">
      <c r="A1353" t="s">
        <v>2277</v>
      </c>
      <c r="B1353" t="s">
        <v>2162</v>
      </c>
      <c r="C1353" t="s">
        <v>2163</v>
      </c>
      <c r="D1353">
        <v>12</v>
      </c>
      <c r="E1353" t="s">
        <v>1419</v>
      </c>
      <c r="F1353" t="s">
        <v>2116</v>
      </c>
      <c r="G1353" t="s">
        <v>1791</v>
      </c>
      <c r="H1353" t="s">
        <v>2279</v>
      </c>
      <c r="I1353" t="s">
        <v>2279</v>
      </c>
      <c r="J1353" t="s">
        <v>2279</v>
      </c>
      <c r="K1353" t="s">
        <v>2407</v>
      </c>
      <c r="L1353" t="s">
        <v>2279</v>
      </c>
      <c r="M1353" t="s">
        <v>2279</v>
      </c>
      <c r="N1353" t="s">
        <v>2279</v>
      </c>
      <c r="O1353" s="190" t="str">
        <f>"["&amp;$C1353&amp;"]["&amp;$D1353&amp;"]["&amp;$F1353&amp;"]"</f>
        <v>[S10_AircraftInfringementPenalties][12][InfringementOther]</v>
      </c>
    </row>
    <row r="1354" spans="1:15" x14ac:dyDescent="0.3">
      <c r="A1354" t="s">
        <v>2277</v>
      </c>
      <c r="B1354" t="s">
        <v>2162</v>
      </c>
      <c r="C1354" t="s">
        <v>2163</v>
      </c>
      <c r="D1354">
        <v>13</v>
      </c>
      <c r="E1354" t="s">
        <v>1419</v>
      </c>
      <c r="F1354" t="s">
        <v>2116</v>
      </c>
      <c r="G1354" t="s">
        <v>1791</v>
      </c>
      <c r="H1354" t="s">
        <v>2279</v>
      </c>
      <c r="I1354" t="s">
        <v>2279</v>
      </c>
      <c r="J1354" t="s">
        <v>2279</v>
      </c>
      <c r="K1354" t="s">
        <v>2408</v>
      </c>
      <c r="L1354" t="s">
        <v>2279</v>
      </c>
      <c r="M1354" t="s">
        <v>2279</v>
      </c>
      <c r="N1354" t="s">
        <v>2279</v>
      </c>
      <c r="O1354" s="190" t="str">
        <f>"["&amp;$C1354&amp;"]["&amp;$D1354&amp;"]["&amp;$F1354&amp;"]"</f>
        <v>[S10_AircraftInfringementPenalties][13][InfringementOther]</v>
      </c>
    </row>
    <row r="1355" spans="1:15" x14ac:dyDescent="0.3">
      <c r="A1355" t="s">
        <v>2277</v>
      </c>
      <c r="B1355" t="s">
        <v>2162</v>
      </c>
      <c r="C1355" t="s">
        <v>2164</v>
      </c>
      <c r="D1355">
        <v>0</v>
      </c>
      <c r="E1355" t="s">
        <v>1447</v>
      </c>
      <c r="F1355" t="s">
        <v>2164</v>
      </c>
      <c r="G1355" t="s">
        <v>1741</v>
      </c>
      <c r="H1355" t="s">
        <v>2409</v>
      </c>
      <c r="I1355" t="s">
        <v>2279</v>
      </c>
      <c r="J1355" t="s">
        <v>2279</v>
      </c>
      <c r="K1355" t="s">
        <v>2279</v>
      </c>
      <c r="L1355" t="s">
        <v>2279</v>
      </c>
      <c r="M1355" t="s">
        <v>2279</v>
      </c>
      <c r="N1355" t="s">
        <v>2279</v>
      </c>
      <c r="O1355" s="190" t="str">
        <f>"["&amp;$C1355&amp;"]["&amp;$D1355&amp;"]["&amp;$F1355&amp;"]"</f>
        <v>[AircraftNationalLaw][0][AircraftNationalLaw]</v>
      </c>
    </row>
    <row r="1356" spans="1:15" x14ac:dyDescent="0.3">
      <c r="A1356" t="s">
        <v>2277</v>
      </c>
      <c r="B1356" t="s">
        <v>2165</v>
      </c>
      <c r="C1356" t="s">
        <v>2167</v>
      </c>
      <c r="D1356">
        <v>0</v>
      </c>
      <c r="E1356" t="s">
        <v>1447</v>
      </c>
      <c r="F1356" t="s">
        <v>2167</v>
      </c>
      <c r="G1356" t="s">
        <v>1759</v>
      </c>
      <c r="H1356" t="s">
        <v>2279</v>
      </c>
      <c r="I1356" t="s">
        <v>2279</v>
      </c>
      <c r="J1356" t="s">
        <v>2279</v>
      </c>
      <c r="K1356" t="s">
        <v>2279</v>
      </c>
      <c r="L1356" t="s">
        <v>1447</v>
      </c>
      <c r="M1356" t="s">
        <v>2279</v>
      </c>
      <c r="N1356" t="s">
        <v>2279</v>
      </c>
      <c r="O1356" s="190" t="str">
        <f>"["&amp;$C1356&amp;"]["&amp;$D1356&amp;"]["&amp;$F1356&amp;"]"</f>
        <v>[AircraftPriorPenaltiesEnforced][0][AircraftPriorPenaltiesEnforced]</v>
      </c>
    </row>
    <row r="1357" spans="1:15" x14ac:dyDescent="0.3">
      <c r="A1357" t="s">
        <v>2277</v>
      </c>
      <c r="B1357" t="s">
        <v>2172</v>
      </c>
      <c r="C1357" t="s">
        <v>2173</v>
      </c>
      <c r="D1357">
        <v>0</v>
      </c>
      <c r="E1357" t="s">
        <v>1447</v>
      </c>
      <c r="F1357" t="s">
        <v>2173</v>
      </c>
      <c r="G1357" t="s">
        <v>1741</v>
      </c>
      <c r="H1357" t="s">
        <v>2415</v>
      </c>
      <c r="I1357" t="s">
        <v>2279</v>
      </c>
      <c r="J1357" t="s">
        <v>2279</v>
      </c>
      <c r="K1357" t="s">
        <v>2279</v>
      </c>
      <c r="L1357" t="s">
        <v>2279</v>
      </c>
      <c r="M1357" t="s">
        <v>2279</v>
      </c>
      <c r="N1357" t="s">
        <v>2279</v>
      </c>
      <c r="O1357" s="190" t="str">
        <f>"["&amp;$C1357&amp;"]["&amp;$D1357&amp;"]["&amp;$F1357&amp;"]"</f>
        <v>[OperatingBanRequestMeasures][0][OperatingBanRequestMeasures]</v>
      </c>
    </row>
    <row r="1358" spans="1:15" x14ac:dyDescent="0.3">
      <c r="A1358" t="s">
        <v>2277</v>
      </c>
      <c r="B1358" t="s">
        <v>2174</v>
      </c>
      <c r="C1358" t="s">
        <v>2175</v>
      </c>
      <c r="D1358">
        <v>0</v>
      </c>
      <c r="E1358" t="s">
        <v>1447</v>
      </c>
      <c r="F1358" t="s">
        <v>2175</v>
      </c>
      <c r="G1358" t="s">
        <v>1741</v>
      </c>
      <c r="H1358" t="s">
        <v>2416</v>
      </c>
      <c r="I1358" t="s">
        <v>2279</v>
      </c>
      <c r="J1358" t="s">
        <v>2279</v>
      </c>
      <c r="K1358" t="s">
        <v>2279</v>
      </c>
      <c r="L1358" t="s">
        <v>2279</v>
      </c>
      <c r="M1358" t="s">
        <v>2279</v>
      </c>
      <c r="N1358" t="s">
        <v>2279</v>
      </c>
      <c r="O1358" s="190" t="str">
        <f>"["&amp;$C1358&amp;"]["&amp;$D1358&amp;"]["&amp;$F1358&amp;"]"</f>
        <v>[LegalNatureOfEmissionAllowance][0][LegalNatureOfEmissionAllowance]</v>
      </c>
    </row>
    <row r="1359" spans="1:15" x14ac:dyDescent="0.3">
      <c r="A1359" t="s">
        <v>2277</v>
      </c>
      <c r="B1359" t="s">
        <v>2176</v>
      </c>
      <c r="C1359" t="s">
        <v>2177</v>
      </c>
      <c r="D1359">
        <v>0</v>
      </c>
      <c r="E1359" t="s">
        <v>1447</v>
      </c>
      <c r="F1359" t="s">
        <v>2177</v>
      </c>
      <c r="G1359" t="s">
        <v>1741</v>
      </c>
      <c r="H1359" t="s">
        <v>2417</v>
      </c>
      <c r="I1359" t="s">
        <v>2279</v>
      </c>
      <c r="J1359" t="s">
        <v>2279</v>
      </c>
      <c r="K1359" t="s">
        <v>2279</v>
      </c>
      <c r="L1359" t="s">
        <v>2279</v>
      </c>
      <c r="M1359" t="s">
        <v>2279</v>
      </c>
      <c r="N1359" t="s">
        <v>2279</v>
      </c>
      <c r="O1359" s="190" t="str">
        <f>"["&amp;$C1359&amp;"]["&amp;$D1359&amp;"]["&amp;$F1359&amp;"]"</f>
        <v>[AccountingTreatmentOfEmissionAllowances][0][AccountingTreatmentOfEmissionAllowances]</v>
      </c>
    </row>
    <row r="1360" spans="1:15" x14ac:dyDescent="0.3">
      <c r="A1360" t="s">
        <v>2277</v>
      </c>
      <c r="B1360" t="s">
        <v>2178</v>
      </c>
      <c r="C1360" t="s">
        <v>2179</v>
      </c>
      <c r="D1360">
        <v>0</v>
      </c>
      <c r="E1360" t="s">
        <v>1447</v>
      </c>
      <c r="F1360" t="s">
        <v>2179</v>
      </c>
      <c r="G1360" t="s">
        <v>1759</v>
      </c>
      <c r="H1360" t="s">
        <v>2279</v>
      </c>
      <c r="I1360" t="s">
        <v>2279</v>
      </c>
      <c r="J1360" t="s">
        <v>2279</v>
      </c>
      <c r="K1360" t="s">
        <v>2279</v>
      </c>
      <c r="L1360" t="s">
        <v>1447</v>
      </c>
      <c r="M1360" t="s">
        <v>2279</v>
      </c>
      <c r="N1360" t="s">
        <v>2279</v>
      </c>
      <c r="O1360" s="190" t="str">
        <f>"["&amp;$C1360&amp;"]["&amp;$D1360&amp;"]["&amp;$F1360&amp;"]"</f>
        <v>[VATdueEmissionAllowancesIssuance][0][VATdueEmissionAllowancesIssuance]</v>
      </c>
    </row>
    <row r="1361" spans="1:15" x14ac:dyDescent="0.3">
      <c r="A1361" t="s">
        <v>2277</v>
      </c>
      <c r="B1361" t="s">
        <v>2178</v>
      </c>
      <c r="C1361" t="s">
        <v>2180</v>
      </c>
      <c r="D1361">
        <v>0</v>
      </c>
      <c r="E1361" t="s">
        <v>1447</v>
      </c>
      <c r="F1361" t="s">
        <v>2180</v>
      </c>
      <c r="G1361" t="s">
        <v>1759</v>
      </c>
      <c r="H1361" t="s">
        <v>2279</v>
      </c>
      <c r="I1361" t="s">
        <v>2279</v>
      </c>
      <c r="J1361" t="s">
        <v>2279</v>
      </c>
      <c r="K1361" t="s">
        <v>2279</v>
      </c>
      <c r="L1361" t="s">
        <v>1419</v>
      </c>
      <c r="M1361" t="s">
        <v>2279</v>
      </c>
      <c r="N1361" t="s">
        <v>2279</v>
      </c>
      <c r="O1361" s="190" t="str">
        <f>"["&amp;$C1361&amp;"]["&amp;$D1361&amp;"]["&amp;$F1361&amp;"]"</f>
        <v>[ReverseChargeMechanismEmissionAllowances][0][ReverseChargeMechanismEmissionAllowances]</v>
      </c>
    </row>
    <row r="1362" spans="1:15" x14ac:dyDescent="0.3">
      <c r="A1362" t="s">
        <v>2277</v>
      </c>
      <c r="B1362" t="s">
        <v>2181</v>
      </c>
      <c r="C1362" t="s">
        <v>2182</v>
      </c>
      <c r="D1362">
        <v>0</v>
      </c>
      <c r="E1362" t="s">
        <v>1447</v>
      </c>
      <c r="F1362" t="s">
        <v>2182</v>
      </c>
      <c r="G1362" t="s">
        <v>1759</v>
      </c>
      <c r="H1362" t="s">
        <v>2279</v>
      </c>
      <c r="I1362" t="s">
        <v>2279</v>
      </c>
      <c r="J1362" t="s">
        <v>2279</v>
      </c>
      <c r="K1362" t="s">
        <v>2279</v>
      </c>
      <c r="L1362" t="s">
        <v>1419</v>
      </c>
      <c r="M1362" t="s">
        <v>2279</v>
      </c>
      <c r="N1362" t="s">
        <v>2279</v>
      </c>
      <c r="O1362" s="190" t="str">
        <f>"["&amp;$C1362&amp;"]["&amp;$D1362&amp;"]["&amp;$F1362&amp;"]"</f>
        <v>[EmissionAllowancesTaxed][0][EmissionAllowancesTaxed]</v>
      </c>
    </row>
    <row r="1363" spans="1:15" x14ac:dyDescent="0.3">
      <c r="A1363" t="s">
        <v>2277</v>
      </c>
      <c r="B1363" t="s">
        <v>2181</v>
      </c>
      <c r="C1363" t="s">
        <v>2183</v>
      </c>
      <c r="D1363">
        <v>1</v>
      </c>
      <c r="E1363" t="s">
        <v>1447</v>
      </c>
      <c r="F1363" t="s">
        <v>2184</v>
      </c>
      <c r="G1363" t="s">
        <v>1741</v>
      </c>
      <c r="H1363" t="s">
        <v>2418</v>
      </c>
      <c r="I1363" t="s">
        <v>2279</v>
      </c>
      <c r="J1363" t="s">
        <v>2279</v>
      </c>
      <c r="K1363" t="s">
        <v>2279</v>
      </c>
      <c r="L1363" t="s">
        <v>2279</v>
      </c>
      <c r="M1363" t="s">
        <v>2279</v>
      </c>
      <c r="N1363" t="s">
        <v>2279</v>
      </c>
      <c r="O1363" s="190" t="str">
        <f>"["&amp;$C1363&amp;"]["&amp;$D1363&amp;"]["&amp;$F1363&amp;"]"</f>
        <v>[S11_TypeOfTaxRatesApplied][1][TypeOfTax]</v>
      </c>
    </row>
    <row r="1364" spans="1:15" x14ac:dyDescent="0.3">
      <c r="A1364" t="s">
        <v>2277</v>
      </c>
      <c r="B1364" t="s">
        <v>2181</v>
      </c>
      <c r="C1364" t="s">
        <v>2183</v>
      </c>
      <c r="D1364">
        <v>1</v>
      </c>
      <c r="E1364" t="s">
        <v>1447</v>
      </c>
      <c r="F1364" t="s">
        <v>2185</v>
      </c>
      <c r="G1364" t="s">
        <v>1741</v>
      </c>
      <c r="H1364" t="s">
        <v>2419</v>
      </c>
      <c r="I1364" t="s">
        <v>2279</v>
      </c>
      <c r="J1364" t="s">
        <v>2279</v>
      </c>
      <c r="K1364" t="s">
        <v>2279</v>
      </c>
      <c r="L1364" t="s">
        <v>2279</v>
      </c>
      <c r="M1364" t="s">
        <v>2279</v>
      </c>
      <c r="N1364" t="s">
        <v>2279</v>
      </c>
      <c r="O1364" s="190" t="str">
        <f>"["&amp;$C1364&amp;"]["&amp;$D1364&amp;"]["&amp;$F1364&amp;"]"</f>
        <v>[S11_TypeOfTaxRatesApplied][1][TaxRateApplied]</v>
      </c>
    </row>
    <row r="1365" spans="1:15" x14ac:dyDescent="0.3">
      <c r="A1365" t="s">
        <v>2277</v>
      </c>
      <c r="B1365" t="s">
        <v>2186</v>
      </c>
      <c r="C1365" t="s">
        <v>2187</v>
      </c>
      <c r="D1365">
        <v>1</v>
      </c>
      <c r="E1365" t="s">
        <v>1447</v>
      </c>
      <c r="F1365" t="s">
        <v>2188</v>
      </c>
      <c r="G1365" t="s">
        <v>1741</v>
      </c>
      <c r="H1365" t="s">
        <v>2420</v>
      </c>
      <c r="I1365" t="s">
        <v>2279</v>
      </c>
      <c r="J1365" t="s">
        <v>2279</v>
      </c>
      <c r="K1365" t="s">
        <v>2279</v>
      </c>
      <c r="L1365" t="s">
        <v>2279</v>
      </c>
      <c r="M1365" t="s">
        <v>2279</v>
      </c>
      <c r="N1365" t="s">
        <v>2279</v>
      </c>
      <c r="O1365" s="190" t="str">
        <f>"["&amp;$C1365&amp;"]["&amp;$D1365&amp;"]["&amp;$F1365&amp;"]"</f>
        <v>[S12_FraudFreeAllocationOfAllowances][1][DetailsOfProceduresInNationalLaw]</v>
      </c>
    </row>
    <row r="1366" spans="1:15" x14ac:dyDescent="0.3">
      <c r="A1366" t="s">
        <v>2277</v>
      </c>
      <c r="B1366" t="s">
        <v>2186</v>
      </c>
      <c r="C1366" t="s">
        <v>2187</v>
      </c>
      <c r="D1366">
        <v>2</v>
      </c>
      <c r="E1366" t="s">
        <v>1447</v>
      </c>
      <c r="F1366" t="s">
        <v>2188</v>
      </c>
      <c r="G1366" t="s">
        <v>1741</v>
      </c>
      <c r="H1366" t="s">
        <v>1419</v>
      </c>
      <c r="I1366" t="s">
        <v>2279</v>
      </c>
      <c r="J1366" t="s">
        <v>2279</v>
      </c>
      <c r="K1366" t="s">
        <v>2279</v>
      </c>
      <c r="L1366" t="s">
        <v>2279</v>
      </c>
      <c r="M1366" t="s">
        <v>2279</v>
      </c>
      <c r="N1366" t="s">
        <v>2279</v>
      </c>
      <c r="O1366" s="190" t="str">
        <f>"["&amp;$C1366&amp;"]["&amp;$D1366&amp;"]["&amp;$F1366&amp;"]"</f>
        <v>[S12_FraudFreeAllocationOfAllowances][2][DetailsOfProceduresInNationalLaw]</v>
      </c>
    </row>
    <row r="1367" spans="1:15" x14ac:dyDescent="0.3">
      <c r="A1367" t="s">
        <v>2277</v>
      </c>
      <c r="B1367" t="s">
        <v>2186</v>
      </c>
      <c r="C1367" t="s">
        <v>2187</v>
      </c>
      <c r="D1367">
        <v>3</v>
      </c>
      <c r="E1367" t="s">
        <v>1447</v>
      </c>
      <c r="F1367" t="s">
        <v>2188</v>
      </c>
      <c r="G1367" t="s">
        <v>1741</v>
      </c>
      <c r="H1367" t="s">
        <v>2421</v>
      </c>
      <c r="I1367" t="s">
        <v>2279</v>
      </c>
      <c r="J1367" t="s">
        <v>2279</v>
      </c>
      <c r="K1367" t="s">
        <v>2279</v>
      </c>
      <c r="L1367" t="s">
        <v>2279</v>
      </c>
      <c r="M1367" t="s">
        <v>2279</v>
      </c>
      <c r="N1367" t="s">
        <v>2279</v>
      </c>
      <c r="O1367" s="190" t="str">
        <f>"["&amp;$C1367&amp;"]["&amp;$D1367&amp;"]["&amp;$F1367&amp;"]"</f>
        <v>[S12_FraudFreeAllocationOfAllowances][3][DetailsOfProceduresInNationalLaw]</v>
      </c>
    </row>
    <row r="1368" spans="1:15" x14ac:dyDescent="0.3">
      <c r="A1368" t="s">
        <v>2277</v>
      </c>
      <c r="B1368" t="s">
        <v>2186</v>
      </c>
      <c r="C1368" t="s">
        <v>2187</v>
      </c>
      <c r="D1368">
        <v>4</v>
      </c>
      <c r="E1368" t="s">
        <v>1447</v>
      </c>
      <c r="F1368" t="s">
        <v>2188</v>
      </c>
      <c r="G1368" t="s">
        <v>1741</v>
      </c>
      <c r="H1368" t="s">
        <v>1419</v>
      </c>
      <c r="I1368" t="s">
        <v>2279</v>
      </c>
      <c r="J1368" t="s">
        <v>2279</v>
      </c>
      <c r="K1368" t="s">
        <v>2279</v>
      </c>
      <c r="L1368" t="s">
        <v>2279</v>
      </c>
      <c r="M1368" t="s">
        <v>2279</v>
      </c>
      <c r="N1368" t="s">
        <v>2279</v>
      </c>
      <c r="O1368" s="190" t="str">
        <f>"["&amp;$C1368&amp;"]["&amp;$D1368&amp;"]["&amp;$F1368&amp;"]"</f>
        <v>[S12_FraudFreeAllocationOfAllowances][4][DetailsOfProceduresInNationalLaw]</v>
      </c>
    </row>
    <row r="1369" spans="1:15" x14ac:dyDescent="0.3">
      <c r="A1369" t="s">
        <v>2277</v>
      </c>
      <c r="B1369" t="s">
        <v>2186</v>
      </c>
      <c r="C1369" t="s">
        <v>2187</v>
      </c>
      <c r="D1369">
        <v>5</v>
      </c>
      <c r="E1369" t="s">
        <v>1447</v>
      </c>
      <c r="F1369" t="s">
        <v>2188</v>
      </c>
      <c r="G1369" t="s">
        <v>1741</v>
      </c>
      <c r="H1369" t="s">
        <v>1419</v>
      </c>
      <c r="I1369" t="s">
        <v>2279</v>
      </c>
      <c r="J1369" t="s">
        <v>2279</v>
      </c>
      <c r="K1369" t="s">
        <v>2279</v>
      </c>
      <c r="L1369" t="s">
        <v>2279</v>
      </c>
      <c r="M1369" t="s">
        <v>2279</v>
      </c>
      <c r="N1369" t="s">
        <v>2279</v>
      </c>
      <c r="O1369" s="190" t="str">
        <f>"["&amp;$C1369&amp;"]["&amp;$D1369&amp;"]["&amp;$F1369&amp;"]"</f>
        <v>[S12_FraudFreeAllocationOfAllowances][5][DetailsOfProceduresInNationalLaw]</v>
      </c>
    </row>
    <row r="1370" spans="1:15" x14ac:dyDescent="0.3">
      <c r="A1370" t="s">
        <v>2277</v>
      </c>
      <c r="B1370" t="s">
        <v>2186</v>
      </c>
      <c r="C1370" t="s">
        <v>2187</v>
      </c>
      <c r="D1370">
        <v>6</v>
      </c>
      <c r="E1370" t="s">
        <v>1447</v>
      </c>
      <c r="F1370" t="s">
        <v>2188</v>
      </c>
      <c r="G1370" t="s">
        <v>1741</v>
      </c>
      <c r="H1370" t="s">
        <v>2422</v>
      </c>
      <c r="I1370" t="s">
        <v>2279</v>
      </c>
      <c r="J1370" t="s">
        <v>2279</v>
      </c>
      <c r="K1370" t="s">
        <v>2279</v>
      </c>
      <c r="L1370" t="s">
        <v>2279</v>
      </c>
      <c r="M1370" t="s">
        <v>2279</v>
      </c>
      <c r="N1370" t="s">
        <v>2279</v>
      </c>
      <c r="O1370" s="190" t="str">
        <f>"["&amp;$C1370&amp;"]["&amp;$D1370&amp;"]["&amp;$F1370&amp;"]"</f>
        <v>[S12_FraudFreeAllocationOfAllowances][6][DetailsOfProceduresInNationalLaw]</v>
      </c>
    </row>
    <row r="1371" spans="1:15" x14ac:dyDescent="0.3">
      <c r="A1371" t="s">
        <v>2277</v>
      </c>
      <c r="B1371" t="s">
        <v>2189</v>
      </c>
      <c r="C1371" t="s">
        <v>2190</v>
      </c>
      <c r="D1371">
        <v>1</v>
      </c>
      <c r="E1371" t="s">
        <v>1447</v>
      </c>
      <c r="F1371" t="s">
        <v>2191</v>
      </c>
      <c r="G1371" t="s">
        <v>1741</v>
      </c>
      <c r="H1371" t="s">
        <v>2423</v>
      </c>
      <c r="I1371" t="s">
        <v>2279</v>
      </c>
      <c r="J1371" t="s">
        <v>2279</v>
      </c>
      <c r="K1371" t="s">
        <v>2279</v>
      </c>
      <c r="L1371" t="s">
        <v>2279</v>
      </c>
      <c r="M1371" t="s">
        <v>2279</v>
      </c>
      <c r="N1371" t="s">
        <v>2279</v>
      </c>
      <c r="O1371" s="190" t="str">
        <f>"["&amp;$C1371&amp;"]["&amp;$D1371&amp;"]["&amp;$F1371&amp;"]"</f>
        <v>[S12_CompetentAuthoritiesAwareOfFraud][1][DetailsOfArrangementsAndProcedures]</v>
      </c>
    </row>
    <row r="1372" spans="1:15" x14ac:dyDescent="0.3">
      <c r="A1372" t="s">
        <v>2277</v>
      </c>
      <c r="B1372" t="s">
        <v>2189</v>
      </c>
      <c r="C1372" t="s">
        <v>2190</v>
      </c>
      <c r="D1372">
        <v>2</v>
      </c>
      <c r="E1372" t="s">
        <v>1447</v>
      </c>
      <c r="F1372" t="s">
        <v>2191</v>
      </c>
      <c r="G1372" t="s">
        <v>1741</v>
      </c>
      <c r="H1372" t="s">
        <v>2424</v>
      </c>
      <c r="I1372" t="s">
        <v>2279</v>
      </c>
      <c r="J1372" t="s">
        <v>2279</v>
      </c>
      <c r="K1372" t="s">
        <v>2279</v>
      </c>
      <c r="L1372" t="s">
        <v>2279</v>
      </c>
      <c r="M1372" t="s">
        <v>2279</v>
      </c>
      <c r="N1372" t="s">
        <v>2279</v>
      </c>
      <c r="O1372" s="190" t="str">
        <f>"["&amp;$C1372&amp;"]["&amp;$D1372&amp;"]["&amp;$F1372&amp;"]"</f>
        <v>[S12_CompetentAuthoritiesAwareOfFraud][2][DetailsOfArrangementsAndProcedures]</v>
      </c>
    </row>
    <row r="1373" spans="1:15" x14ac:dyDescent="0.3">
      <c r="A1373" t="s">
        <v>2277</v>
      </c>
      <c r="B1373" t="s">
        <v>2189</v>
      </c>
      <c r="C1373" t="s">
        <v>2190</v>
      </c>
      <c r="D1373">
        <v>3</v>
      </c>
      <c r="E1373" t="s">
        <v>1447</v>
      </c>
      <c r="F1373" t="s">
        <v>2191</v>
      </c>
      <c r="G1373" t="s">
        <v>1741</v>
      </c>
      <c r="H1373" t="s">
        <v>2424</v>
      </c>
      <c r="I1373" t="s">
        <v>2279</v>
      </c>
      <c r="J1373" t="s">
        <v>2279</v>
      </c>
      <c r="K1373" t="s">
        <v>2279</v>
      </c>
      <c r="L1373" t="s">
        <v>2279</v>
      </c>
      <c r="M1373" t="s">
        <v>2279</v>
      </c>
      <c r="N1373" t="s">
        <v>2279</v>
      </c>
      <c r="O1373" s="190" t="str">
        <f>"["&amp;$C1373&amp;"]["&amp;$D1373&amp;"]["&amp;$F1373&amp;"]"</f>
        <v>[S12_CompetentAuthoritiesAwareOfFraud][3][DetailsOfArrangementsAndProcedures]</v>
      </c>
    </row>
    <row r="1374" spans="1:15" x14ac:dyDescent="0.3">
      <c r="A1374" t="s">
        <v>2277</v>
      </c>
      <c r="B1374" t="s">
        <v>2189</v>
      </c>
      <c r="C1374" t="s">
        <v>2190</v>
      </c>
      <c r="D1374">
        <v>4</v>
      </c>
      <c r="E1374" t="s">
        <v>1447</v>
      </c>
      <c r="F1374" t="s">
        <v>2191</v>
      </c>
      <c r="G1374" t="s">
        <v>1741</v>
      </c>
      <c r="H1374" t="s">
        <v>2424</v>
      </c>
      <c r="I1374" t="s">
        <v>2279</v>
      </c>
      <c r="J1374" t="s">
        <v>2279</v>
      </c>
      <c r="K1374" t="s">
        <v>2279</v>
      </c>
      <c r="L1374" t="s">
        <v>2279</v>
      </c>
      <c r="M1374" t="s">
        <v>2279</v>
      </c>
      <c r="N1374" t="s">
        <v>2279</v>
      </c>
      <c r="O1374" s="190" t="str">
        <f>"["&amp;$C1374&amp;"]["&amp;$D1374&amp;"]["&amp;$F1374&amp;"]"</f>
        <v>[S12_CompetentAuthoritiesAwareOfFraud][4][DetailsOfArrangementsAndProcedures]</v>
      </c>
    </row>
    <row r="1375" spans="1:15" x14ac:dyDescent="0.3">
      <c r="A1375" t="s">
        <v>2277</v>
      </c>
      <c r="B1375" t="s">
        <v>2192</v>
      </c>
      <c r="C1375" t="s">
        <v>2193</v>
      </c>
      <c r="D1375">
        <v>1</v>
      </c>
      <c r="E1375" t="s">
        <v>1447</v>
      </c>
      <c r="F1375" t="s">
        <v>2194</v>
      </c>
      <c r="G1375" t="s">
        <v>1748</v>
      </c>
      <c r="H1375" t="s">
        <v>2279</v>
      </c>
      <c r="I1375">
        <v>0</v>
      </c>
      <c r="J1375" t="s">
        <v>2279</v>
      </c>
      <c r="K1375" t="s">
        <v>2279</v>
      </c>
      <c r="L1375" t="s">
        <v>2279</v>
      </c>
      <c r="M1375" t="s">
        <v>2279</v>
      </c>
      <c r="N1375" t="s">
        <v>2279</v>
      </c>
      <c r="O1375" s="190" t="str">
        <f>"["&amp;$C1375&amp;"]["&amp;$D1375&amp;"]["&amp;$F1375&amp;"]"</f>
        <v>[S12_InformationOnFraudActivities][1][NumberOfActivities]</v>
      </c>
    </row>
    <row r="1376" spans="1:15" x14ac:dyDescent="0.3">
      <c r="A1376" t="s">
        <v>2277</v>
      </c>
      <c r="B1376" t="s">
        <v>2192</v>
      </c>
      <c r="C1376" t="s">
        <v>2193</v>
      </c>
      <c r="D1376">
        <v>2</v>
      </c>
      <c r="E1376" t="s">
        <v>1447</v>
      </c>
      <c r="F1376" t="s">
        <v>2194</v>
      </c>
      <c r="G1376" t="s">
        <v>1748</v>
      </c>
      <c r="H1376" t="s">
        <v>2279</v>
      </c>
      <c r="I1376">
        <v>0</v>
      </c>
      <c r="J1376" t="s">
        <v>2279</v>
      </c>
      <c r="K1376" t="s">
        <v>2279</v>
      </c>
      <c r="L1376" t="s">
        <v>2279</v>
      </c>
      <c r="M1376" t="s">
        <v>2279</v>
      </c>
      <c r="N1376" t="s">
        <v>2279</v>
      </c>
      <c r="O1376" s="190" t="str">
        <f>"["&amp;$C1376&amp;"]["&amp;$D1376&amp;"]["&amp;$F1376&amp;"]"</f>
        <v>[S12_InformationOnFraudActivities][2][NumberOfActivities]</v>
      </c>
    </row>
    <row r="1377" spans="1:15" x14ac:dyDescent="0.3">
      <c r="A1377" t="s">
        <v>2277</v>
      </c>
      <c r="B1377" t="s">
        <v>2192</v>
      </c>
      <c r="C1377" t="s">
        <v>2193</v>
      </c>
      <c r="D1377">
        <v>3</v>
      </c>
      <c r="E1377" t="s">
        <v>1447</v>
      </c>
      <c r="F1377" t="s">
        <v>2194</v>
      </c>
      <c r="G1377" t="s">
        <v>1748</v>
      </c>
      <c r="H1377" t="s">
        <v>2279</v>
      </c>
      <c r="I1377">
        <v>0</v>
      </c>
      <c r="J1377" t="s">
        <v>2279</v>
      </c>
      <c r="K1377" t="s">
        <v>2279</v>
      </c>
      <c r="L1377" t="s">
        <v>2279</v>
      </c>
      <c r="M1377" t="s">
        <v>2279</v>
      </c>
      <c r="N1377" t="s">
        <v>2279</v>
      </c>
      <c r="O1377" s="190" t="str">
        <f>"["&amp;$C1377&amp;"]["&amp;$D1377&amp;"]["&amp;$F1377&amp;"]"</f>
        <v>[S12_InformationOnFraudActivities][3][NumberOfActivities]</v>
      </c>
    </row>
    <row r="1378" spans="1:15" x14ac:dyDescent="0.3">
      <c r="A1378" t="s">
        <v>2277</v>
      </c>
      <c r="B1378" t="s">
        <v>2192</v>
      </c>
      <c r="C1378" t="s">
        <v>2193</v>
      </c>
      <c r="D1378">
        <v>4</v>
      </c>
      <c r="E1378" t="s">
        <v>1447</v>
      </c>
      <c r="F1378" t="s">
        <v>2194</v>
      </c>
      <c r="G1378" t="s">
        <v>1748</v>
      </c>
      <c r="H1378" t="s">
        <v>2279</v>
      </c>
      <c r="I1378">
        <v>0</v>
      </c>
      <c r="J1378" t="s">
        <v>2279</v>
      </c>
      <c r="K1378" t="s">
        <v>2279</v>
      </c>
      <c r="L1378" t="s">
        <v>2279</v>
      </c>
      <c r="M1378" t="s">
        <v>2279</v>
      </c>
      <c r="N1378" t="s">
        <v>2279</v>
      </c>
      <c r="O1378" s="190" t="str">
        <f>"["&amp;$C1378&amp;"]["&amp;$D1378&amp;"]["&amp;$F1378&amp;"]"</f>
        <v>[S12_InformationOnFraudActivities][4][NumberOfActivities]</v>
      </c>
    </row>
    <row r="1379" spans="1:15" x14ac:dyDescent="0.3">
      <c r="A1379" t="s">
        <v>2277</v>
      </c>
      <c r="B1379" t="s">
        <v>2195</v>
      </c>
      <c r="C1379" t="s">
        <v>2196</v>
      </c>
      <c r="D1379">
        <v>7</v>
      </c>
      <c r="E1379" t="s">
        <v>1447</v>
      </c>
      <c r="F1379" t="s">
        <v>2197</v>
      </c>
      <c r="G1379" t="s">
        <v>1791</v>
      </c>
      <c r="H1379" t="s">
        <v>2279</v>
      </c>
      <c r="I1379" t="s">
        <v>2279</v>
      </c>
      <c r="J1379" t="s">
        <v>2279</v>
      </c>
      <c r="K1379" t="s">
        <v>2425</v>
      </c>
      <c r="L1379" t="s">
        <v>2279</v>
      </c>
      <c r="M1379" t="s">
        <v>2279</v>
      </c>
      <c r="N1379" t="s">
        <v>2279</v>
      </c>
      <c r="O1379" s="190" t="str">
        <f>"["&amp;$C1379&amp;"]["&amp;$D1379&amp;"]["&amp;$F1379&amp;"]"</f>
        <v>[S13_AnyOtherIssues][7][OtherInformationOrIssues]</v>
      </c>
    </row>
    <row r="1380" spans="1:15" x14ac:dyDescent="0.3">
      <c r="A1380" t="s">
        <v>2277</v>
      </c>
      <c r="B1380" t="s">
        <v>2195</v>
      </c>
      <c r="C1380" t="s">
        <v>2196</v>
      </c>
      <c r="D1380">
        <v>8</v>
      </c>
      <c r="E1380" t="s">
        <v>1447</v>
      </c>
      <c r="F1380" t="s">
        <v>2197</v>
      </c>
      <c r="G1380" t="s">
        <v>1791</v>
      </c>
      <c r="H1380" t="s">
        <v>2279</v>
      </c>
      <c r="I1380" t="s">
        <v>2279</v>
      </c>
      <c r="J1380" t="s">
        <v>2279</v>
      </c>
      <c r="K1380" t="s">
        <v>2426</v>
      </c>
      <c r="L1380" t="s">
        <v>2279</v>
      </c>
      <c r="M1380" t="s">
        <v>2279</v>
      </c>
      <c r="N1380" t="s">
        <v>2279</v>
      </c>
      <c r="O1380" s="190" t="str">
        <f>"["&amp;$C1380&amp;"]["&amp;$D1380&amp;"]["&amp;$F1380&amp;"]"</f>
        <v>[S13_AnyOtherIssues][8][OtherInformationOrIssues]</v>
      </c>
    </row>
    <row r="1381" spans="1:15" x14ac:dyDescent="0.3">
      <c r="A1381" t="s">
        <v>2277</v>
      </c>
      <c r="B1381" t="s">
        <v>2195</v>
      </c>
      <c r="C1381" t="s">
        <v>2196</v>
      </c>
      <c r="D1381">
        <v>10</v>
      </c>
      <c r="E1381" t="s">
        <v>1447</v>
      </c>
      <c r="F1381" t="s">
        <v>2197</v>
      </c>
      <c r="G1381" t="s">
        <v>1791</v>
      </c>
      <c r="H1381" t="s">
        <v>2279</v>
      </c>
      <c r="I1381" t="s">
        <v>2279</v>
      </c>
      <c r="J1381" t="s">
        <v>2279</v>
      </c>
      <c r="K1381" t="s">
        <v>2427</v>
      </c>
      <c r="L1381" t="s">
        <v>2279</v>
      </c>
      <c r="M1381" t="s">
        <v>2279</v>
      </c>
      <c r="N1381" t="s">
        <v>2279</v>
      </c>
      <c r="O1381" s="190" t="str">
        <f>"["&amp;$C1381&amp;"]["&amp;$D1381&amp;"]["&amp;$F1381&amp;"]"</f>
        <v>[S13_AnyOtherIssues][10][OtherInformationOrIssues]</v>
      </c>
    </row>
    <row r="1382" spans="1:15" x14ac:dyDescent="0.3">
      <c r="A1382" t="s">
        <v>2277</v>
      </c>
      <c r="B1382" t="s">
        <v>2195</v>
      </c>
      <c r="C1382" t="s">
        <v>2196</v>
      </c>
      <c r="D1382">
        <v>12</v>
      </c>
      <c r="E1382" t="s">
        <v>1447</v>
      </c>
      <c r="F1382" t="s">
        <v>2197</v>
      </c>
      <c r="G1382" t="s">
        <v>1791</v>
      </c>
      <c r="H1382" t="s">
        <v>2279</v>
      </c>
      <c r="I1382" t="s">
        <v>2279</v>
      </c>
      <c r="J1382" t="s">
        <v>2279</v>
      </c>
      <c r="K1382" t="s">
        <v>2428</v>
      </c>
      <c r="L1382" t="s">
        <v>2279</v>
      </c>
      <c r="M1382" t="s">
        <v>2279</v>
      </c>
      <c r="N1382" t="s">
        <v>2279</v>
      </c>
      <c r="O1382" s="190" t="str">
        <f>"["&amp;$C1382&amp;"]["&amp;$D1382&amp;"]["&amp;$F1382&amp;"]"</f>
        <v>[S13_AnyOtherIssues][12][OtherInformationOrIssues]</v>
      </c>
    </row>
    <row r="1383" spans="1:15" x14ac:dyDescent="0.3">
      <c r="A1383" t="s">
        <v>2277</v>
      </c>
      <c r="B1383" t="s">
        <v>2195</v>
      </c>
      <c r="C1383" t="s">
        <v>2196</v>
      </c>
      <c r="D1383">
        <v>13</v>
      </c>
      <c r="E1383" t="s">
        <v>1447</v>
      </c>
      <c r="F1383" t="s">
        <v>2197</v>
      </c>
      <c r="G1383" t="s">
        <v>1791</v>
      </c>
      <c r="H1383" t="s">
        <v>2279</v>
      </c>
      <c r="I1383" t="s">
        <v>2279</v>
      </c>
      <c r="J1383" t="s">
        <v>2279</v>
      </c>
      <c r="K1383" t="s">
        <v>2429</v>
      </c>
      <c r="L1383" t="s">
        <v>2279</v>
      </c>
      <c r="M1383" t="s">
        <v>2279</v>
      </c>
      <c r="N1383" t="s">
        <v>2279</v>
      </c>
      <c r="O1383" s="190" t="str">
        <f>"["&amp;$C1383&amp;"]["&amp;$D1383&amp;"]["&amp;$F1383&amp;"]"</f>
        <v>[S13_AnyOtherIssues][13][OtherInformationOrIssues]</v>
      </c>
    </row>
    <row r="1384" spans="1:15" x14ac:dyDescent="0.3">
      <c r="A1384" t="s">
        <v>2277</v>
      </c>
      <c r="B1384" t="s">
        <v>2195</v>
      </c>
      <c r="C1384" t="s">
        <v>2196</v>
      </c>
      <c r="D1384">
        <v>14</v>
      </c>
      <c r="E1384" t="s">
        <v>1447</v>
      </c>
      <c r="F1384" t="s">
        <v>2197</v>
      </c>
      <c r="G1384" t="s">
        <v>1791</v>
      </c>
      <c r="H1384" t="s">
        <v>2279</v>
      </c>
      <c r="I1384" t="s">
        <v>2279</v>
      </c>
      <c r="J1384" t="s">
        <v>2279</v>
      </c>
      <c r="K1384" t="s">
        <v>2430</v>
      </c>
      <c r="L1384" t="s">
        <v>2279</v>
      </c>
      <c r="M1384" t="s">
        <v>2279</v>
      </c>
      <c r="N1384" t="s">
        <v>2279</v>
      </c>
      <c r="O1384" s="190" t="str">
        <f>"["&amp;$C1384&amp;"]["&amp;$D1384&amp;"]["&amp;$F1384&amp;"]"</f>
        <v>[S13_AnyOtherIssues][14][OtherInformationOrIssues]</v>
      </c>
    </row>
    <row r="1385" spans="1:15" x14ac:dyDescent="0.3">
      <c r="A1385" t="s">
        <v>2277</v>
      </c>
      <c r="B1385" t="s">
        <v>2195</v>
      </c>
      <c r="C1385" t="s">
        <v>2196</v>
      </c>
      <c r="D1385">
        <v>47</v>
      </c>
      <c r="E1385" t="s">
        <v>1447</v>
      </c>
      <c r="F1385" t="s">
        <v>2197</v>
      </c>
      <c r="G1385" t="s">
        <v>1791</v>
      </c>
      <c r="H1385" t="s">
        <v>2279</v>
      </c>
      <c r="I1385" t="s">
        <v>2279</v>
      </c>
      <c r="J1385" t="s">
        <v>2279</v>
      </c>
      <c r="K1385" t="s">
        <v>2431</v>
      </c>
      <c r="L1385" t="s">
        <v>2279</v>
      </c>
      <c r="M1385" t="s">
        <v>2279</v>
      </c>
      <c r="N1385" t="s">
        <v>2279</v>
      </c>
      <c r="O1385" s="190" t="str">
        <f>"["&amp;$C1385&amp;"]["&amp;$D1385&amp;"]["&amp;$F1385&amp;"]"</f>
        <v>[S13_AnyOtherIssues][47][OtherInformationOrIssues]</v>
      </c>
    </row>
    <row r="1386" spans="1:15" x14ac:dyDescent="0.3">
      <c r="A1386" t="s">
        <v>2277</v>
      </c>
      <c r="B1386" t="s">
        <v>2195</v>
      </c>
      <c r="C1386" t="s">
        <v>2196</v>
      </c>
      <c r="D1386">
        <v>7</v>
      </c>
      <c r="E1386" t="s">
        <v>1447</v>
      </c>
      <c r="F1386" t="s">
        <v>2198</v>
      </c>
      <c r="G1386" t="s">
        <v>1737</v>
      </c>
      <c r="H1386" t="s">
        <v>2279</v>
      </c>
      <c r="I1386" t="s">
        <v>2279</v>
      </c>
      <c r="J1386" t="s">
        <v>2279</v>
      </c>
      <c r="K1386" t="s">
        <v>2279</v>
      </c>
      <c r="L1386" t="s">
        <v>1537</v>
      </c>
      <c r="M1386" t="s">
        <v>2279</v>
      </c>
      <c r="N1386" t="s">
        <v>2279</v>
      </c>
      <c r="O1386" s="190" t="str">
        <f>"["&amp;$C1386&amp;"]["&amp;$D1386&amp;"]["&amp;$F1386&amp;"]"</f>
        <v>[S13_AnyOtherIssues][7][QuestionnaireSubQuestion]</v>
      </c>
    </row>
    <row r="1387" spans="1:15" x14ac:dyDescent="0.3">
      <c r="A1387" t="s">
        <v>2277</v>
      </c>
      <c r="B1387" t="s">
        <v>2195</v>
      </c>
      <c r="C1387" t="s">
        <v>2196</v>
      </c>
      <c r="D1387">
        <v>8</v>
      </c>
      <c r="E1387" t="s">
        <v>1447</v>
      </c>
      <c r="F1387" t="s">
        <v>2198</v>
      </c>
      <c r="G1387" t="s">
        <v>1737</v>
      </c>
      <c r="H1387" t="s">
        <v>2279</v>
      </c>
      <c r="I1387" t="s">
        <v>2279</v>
      </c>
      <c r="J1387" t="s">
        <v>2279</v>
      </c>
      <c r="K1387" t="s">
        <v>2279</v>
      </c>
      <c r="L1387" t="s">
        <v>1537</v>
      </c>
      <c r="M1387" t="s">
        <v>2279</v>
      </c>
      <c r="N1387" t="s">
        <v>2279</v>
      </c>
      <c r="O1387" s="190" t="str">
        <f>"["&amp;$C1387&amp;"]["&amp;$D1387&amp;"]["&amp;$F1387&amp;"]"</f>
        <v>[S13_AnyOtherIssues][8][QuestionnaireSubQuestion]</v>
      </c>
    </row>
    <row r="1388" spans="1:15" x14ac:dyDescent="0.3">
      <c r="A1388" t="s">
        <v>2277</v>
      </c>
      <c r="B1388" t="s">
        <v>2195</v>
      </c>
      <c r="C1388" t="s">
        <v>2196</v>
      </c>
      <c r="D1388">
        <v>10</v>
      </c>
      <c r="E1388" t="s">
        <v>1447</v>
      </c>
      <c r="F1388" t="s">
        <v>2198</v>
      </c>
      <c r="G1388" t="s">
        <v>1737</v>
      </c>
      <c r="H1388" t="s">
        <v>2279</v>
      </c>
      <c r="I1388" t="s">
        <v>2279</v>
      </c>
      <c r="J1388" t="s">
        <v>2279</v>
      </c>
      <c r="K1388" t="s">
        <v>2279</v>
      </c>
      <c r="L1388" t="s">
        <v>1572</v>
      </c>
      <c r="M1388" t="s">
        <v>2279</v>
      </c>
      <c r="N1388" t="s">
        <v>2279</v>
      </c>
      <c r="O1388" s="190" t="str">
        <f>"["&amp;$C1388&amp;"]["&amp;$D1388&amp;"]["&amp;$F1388&amp;"]"</f>
        <v>[S13_AnyOtherIssues][10][QuestionnaireSubQuestion]</v>
      </c>
    </row>
    <row r="1389" spans="1:15" x14ac:dyDescent="0.3">
      <c r="A1389" t="s">
        <v>2277</v>
      </c>
      <c r="B1389" t="s">
        <v>2195</v>
      </c>
      <c r="C1389" t="s">
        <v>2196</v>
      </c>
      <c r="D1389">
        <v>12</v>
      </c>
      <c r="E1389" t="s">
        <v>1447</v>
      </c>
      <c r="F1389" t="s">
        <v>2198</v>
      </c>
      <c r="G1389" t="s">
        <v>1737</v>
      </c>
      <c r="H1389" t="s">
        <v>2279</v>
      </c>
      <c r="I1389" t="s">
        <v>2279</v>
      </c>
      <c r="J1389" t="s">
        <v>2279</v>
      </c>
      <c r="K1389" t="s">
        <v>2279</v>
      </c>
      <c r="L1389" t="s">
        <v>1601</v>
      </c>
      <c r="M1389" t="s">
        <v>2279</v>
      </c>
      <c r="N1389" t="s">
        <v>2279</v>
      </c>
      <c r="O1389" s="190" t="str">
        <f>"["&amp;$C1389&amp;"]["&amp;$D1389&amp;"]["&amp;$F1389&amp;"]"</f>
        <v>[S13_AnyOtherIssues][12][QuestionnaireSubQuestion]</v>
      </c>
    </row>
    <row r="1390" spans="1:15" x14ac:dyDescent="0.3">
      <c r="A1390" t="s">
        <v>2277</v>
      </c>
      <c r="B1390" t="s">
        <v>2195</v>
      </c>
      <c r="C1390" t="s">
        <v>2196</v>
      </c>
      <c r="D1390">
        <v>13</v>
      </c>
      <c r="E1390" t="s">
        <v>1447</v>
      </c>
      <c r="F1390" t="s">
        <v>2198</v>
      </c>
      <c r="G1390" t="s">
        <v>1737</v>
      </c>
      <c r="H1390" t="s">
        <v>2279</v>
      </c>
      <c r="I1390" t="s">
        <v>2279</v>
      </c>
      <c r="J1390" t="s">
        <v>2279</v>
      </c>
      <c r="K1390" t="s">
        <v>2279</v>
      </c>
      <c r="L1390" t="s">
        <v>1635</v>
      </c>
      <c r="M1390" t="s">
        <v>2279</v>
      </c>
      <c r="N1390" t="s">
        <v>2279</v>
      </c>
      <c r="O1390" s="190" t="str">
        <f>"["&amp;$C1390&amp;"]["&amp;$D1390&amp;"]["&amp;$F1390&amp;"]"</f>
        <v>[S13_AnyOtherIssues][13][QuestionnaireSubQuestion]</v>
      </c>
    </row>
    <row r="1391" spans="1:15" x14ac:dyDescent="0.3">
      <c r="A1391" t="s">
        <v>2277</v>
      </c>
      <c r="B1391" t="s">
        <v>2195</v>
      </c>
      <c r="C1391" t="s">
        <v>2196</v>
      </c>
      <c r="D1391">
        <v>14</v>
      </c>
      <c r="E1391" t="s">
        <v>1447</v>
      </c>
      <c r="F1391" t="s">
        <v>2198</v>
      </c>
      <c r="G1391" t="s">
        <v>1737</v>
      </c>
      <c r="H1391" t="s">
        <v>2279</v>
      </c>
      <c r="I1391" t="s">
        <v>2279</v>
      </c>
      <c r="J1391" t="s">
        <v>2279</v>
      </c>
      <c r="K1391" t="s">
        <v>2279</v>
      </c>
      <c r="L1391" t="s">
        <v>1655</v>
      </c>
      <c r="M1391" t="s">
        <v>2279</v>
      </c>
      <c r="N1391" t="s">
        <v>2279</v>
      </c>
      <c r="O1391" s="190" t="str">
        <f>"["&amp;$C1391&amp;"]["&amp;$D1391&amp;"]["&amp;$F1391&amp;"]"</f>
        <v>[S13_AnyOtherIssues][14][QuestionnaireSubQuestion]</v>
      </c>
    </row>
    <row r="1392" spans="1:15" x14ac:dyDescent="0.3">
      <c r="A1392" t="s">
        <v>2277</v>
      </c>
      <c r="B1392" t="s">
        <v>2195</v>
      </c>
      <c r="C1392" t="s">
        <v>2196</v>
      </c>
      <c r="D1392">
        <v>47</v>
      </c>
      <c r="E1392" t="s">
        <v>1447</v>
      </c>
      <c r="F1392" t="s">
        <v>2198</v>
      </c>
      <c r="G1392" t="s">
        <v>1737</v>
      </c>
      <c r="H1392" t="s">
        <v>2279</v>
      </c>
      <c r="I1392" t="s">
        <v>2279</v>
      </c>
      <c r="J1392" t="s">
        <v>2279</v>
      </c>
      <c r="K1392" t="s">
        <v>2279</v>
      </c>
      <c r="L1392" t="s">
        <v>1688</v>
      </c>
      <c r="M1392" t="s">
        <v>2279</v>
      </c>
      <c r="N1392" t="s">
        <v>2279</v>
      </c>
      <c r="O1392" s="190" t="str">
        <f>"["&amp;$C1392&amp;"]["&amp;$D1392&amp;"]["&amp;$F1392&amp;"]"</f>
        <v>[S13_AnyOtherIssues][47][QuestionnaireSubQuestion]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09" t="s">
        <v>436</v>
      </c>
      <c r="C3" s="309"/>
      <c r="D3" s="309"/>
      <c r="E3" s="309"/>
      <c r="F3" s="309"/>
      <c r="G3" s="309"/>
      <c r="H3" s="309"/>
      <c r="I3" s="309"/>
    </row>
    <row r="4" spans="1:9" ht="39" customHeight="1" x14ac:dyDescent="0.3">
      <c r="A4" s="12" t="s">
        <v>437</v>
      </c>
      <c r="B4" s="457" t="s">
        <v>1119</v>
      </c>
      <c r="C4" s="457"/>
      <c r="D4" s="457"/>
      <c r="E4" s="457"/>
      <c r="F4" s="457"/>
      <c r="G4" s="457"/>
      <c r="H4" s="457"/>
      <c r="I4" s="457"/>
    </row>
    <row r="5" spans="1:9" ht="27" customHeight="1" x14ac:dyDescent="0.3"/>
    <row r="6" spans="1:9" ht="32.1" customHeight="1" x14ac:dyDescent="0.3">
      <c r="A6" s="12" t="s">
        <v>441</v>
      </c>
      <c r="B6" s="338" t="s">
        <v>1120</v>
      </c>
      <c r="C6" s="308"/>
      <c r="D6" s="308"/>
      <c r="E6" s="308"/>
      <c r="F6" s="308"/>
      <c r="G6" s="308"/>
      <c r="H6" s="308"/>
      <c r="I6" s="308"/>
    </row>
    <row r="7" spans="1:9" ht="26.1" customHeight="1" x14ac:dyDescent="0.3">
      <c r="A7" s="13"/>
      <c r="B7" s="10"/>
      <c r="C7" s="46" t="s">
        <v>1121</v>
      </c>
      <c r="D7" s="314" t="s">
        <v>1122</v>
      </c>
      <c r="E7" s="316"/>
      <c r="F7" s="317" t="s">
        <v>1123</v>
      </c>
      <c r="G7" s="318"/>
      <c r="H7" s="104" t="s">
        <v>1124</v>
      </c>
      <c r="I7" s="46" t="s">
        <v>1125</v>
      </c>
    </row>
    <row r="8" spans="1:9" ht="15.9" customHeight="1" x14ac:dyDescent="0.3">
      <c r="A8" s="13"/>
      <c r="B8" s="10"/>
      <c r="C8" s="72" t="str">
        <f>_xlfn.CONCAT(_xlfn.XLOOKUP("[S07_NoFurtherAllowancesSurrendered][1][InstallationIDCode]",Submission!$O:$O,Submission!$H:$N,""))</f>
        <v/>
      </c>
      <c r="D8" s="258" t="str">
        <f>_xlfn.CONCAT(_xlfn.XLOOKUP("[S07_NoFurtherAllowancesSurrendered][1][OperatorName]",Submission!$O:$O,Submission!$H:$N,""))</f>
        <v/>
      </c>
      <c r="E8" s="260"/>
      <c r="F8" s="258" t="str">
        <f>_xlfn.CONCAT(_xlfn.XLOOKUP("[S07_NoFurtherAllowancesSurrendered][1][InstallationName]",Submission!$O:$O,Submission!$H:$N,""))</f>
        <v/>
      </c>
      <c r="G8" s="260"/>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58" t="str">
        <f>_xlfn.CONCAT(_xlfn.XLOOKUP("[S07_NoFurtherAllowancesSurrendered][2][OperatorName]",Submission!$O:$O,Submission!$H:$N,""))</f>
        <v/>
      </c>
      <c r="E9" s="260"/>
      <c r="F9" s="258" t="str">
        <f>_xlfn.CONCAT(_xlfn.XLOOKUP("[S07_NoFurtherAllowancesSurrendered][2][InstallationName]",Submission!$O:$O,Submission!$H:$N,""))</f>
        <v/>
      </c>
      <c r="G9" s="260"/>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58" t="str">
        <f>_xlfn.CONCAT(_xlfn.XLOOKUP("[S07_NoFurtherAllowancesSurrendered][3][OperatorName]",Submission!$O:$O,Submission!$H:$N,""))</f>
        <v/>
      </c>
      <c r="E10" s="260"/>
      <c r="F10" s="258" t="str">
        <f>_xlfn.CONCAT(_xlfn.XLOOKUP("[S07_NoFurtherAllowancesSurrendered][3][InstallationName]",Submission!$O:$O,Submission!$H:$N,""))</f>
        <v/>
      </c>
      <c r="G10" s="260"/>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58" t="str">
        <f>_xlfn.CONCAT(_xlfn.XLOOKUP("[S07_NoFurtherAllowancesSurrendered][4][OperatorName]",Submission!$O:$O,Submission!$H:$N,""))</f>
        <v/>
      </c>
      <c r="E11" s="260"/>
      <c r="F11" s="258" t="str">
        <f>_xlfn.CONCAT(_xlfn.XLOOKUP("[S07_NoFurtherAllowancesSurrendered][4][InstallationName]",Submission!$O:$O,Submission!$H:$N,""))</f>
        <v/>
      </c>
      <c r="G11" s="260"/>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58" t="str">
        <f>_xlfn.CONCAT(_xlfn.XLOOKUP("[S07_NoFurtherAllowancesSurrendered][5][OperatorName]",Submission!$O:$O,Submission!$H:$N,""))</f>
        <v/>
      </c>
      <c r="E12" s="260"/>
      <c r="F12" s="258" t="str">
        <f>_xlfn.CONCAT(_xlfn.XLOOKUP("[S07_NoFurtherAllowancesSurrendered][5][InstallationName]",Submission!$O:$O,Submission!$H:$N,""))</f>
        <v/>
      </c>
      <c r="G12" s="260"/>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58" t="str">
        <f>_xlfn.CONCAT(_xlfn.XLOOKUP("[S07_NoFurtherAllowancesSurrendered][6][OperatorName]",Submission!$O:$O,Submission!$H:$N,""))</f>
        <v/>
      </c>
      <c r="E13" s="260"/>
      <c r="F13" s="258" t="str">
        <f>_xlfn.CONCAT(_xlfn.XLOOKUP("[S07_NoFurtherAllowancesSurrendered][6][InstallationName]",Submission!$O:$O,Submission!$H:$N,""))</f>
        <v/>
      </c>
      <c r="G13" s="260"/>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58" t="str">
        <f>_xlfn.CONCAT(_xlfn.XLOOKUP("[S07_NoFurtherAllowancesSurrendered][7][OperatorName]",Submission!$O:$O,Submission!$H:$N,""))</f>
        <v/>
      </c>
      <c r="E14" s="260"/>
      <c r="F14" s="258" t="str">
        <f>_xlfn.CONCAT(_xlfn.XLOOKUP("[S07_NoFurtherAllowancesSurrendered][7][InstallationName]",Submission!$O:$O,Submission!$H:$N,""))</f>
        <v/>
      </c>
      <c r="G14" s="260"/>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58" t="str">
        <f>_xlfn.CONCAT(_xlfn.XLOOKUP("[S07_NoFurtherAllowancesSurrendered][8][OperatorName]",Submission!$O:$O,Submission!$H:$N,""))</f>
        <v/>
      </c>
      <c r="E15" s="260"/>
      <c r="F15" s="258" t="str">
        <f>_xlfn.CONCAT(_xlfn.XLOOKUP("[S07_NoFurtherAllowancesSurrendered][8][InstallationName]",Submission!$O:$O,Submission!$H:$N,""))</f>
        <v/>
      </c>
      <c r="G15" s="260"/>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58" t="str">
        <f>_xlfn.CONCAT(_xlfn.XLOOKUP("[S07_NoFurtherAllowancesSurrendered][9][OperatorName]",Submission!$O:$O,Submission!$H:$N,""))</f>
        <v/>
      </c>
      <c r="E16" s="260"/>
      <c r="F16" s="258" t="str">
        <f>_xlfn.CONCAT(_xlfn.XLOOKUP("[S07_NoFurtherAllowancesSurrendered][9][InstallationName]",Submission!$O:$O,Submission!$H:$N,""))</f>
        <v/>
      </c>
      <c r="G16" s="260"/>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58" t="str">
        <f>_xlfn.CONCAT(_xlfn.XLOOKUP("[S07_NoFurtherAllowancesSurrendered][10][OperatorName]",Submission!$O:$O,Submission!$H:$N,""))</f>
        <v/>
      </c>
      <c r="E17" s="260"/>
      <c r="F17" s="258" t="str">
        <f>_xlfn.CONCAT(_xlfn.XLOOKUP("[S07_NoFurtherAllowancesSurrendered][10][InstallationName]",Submission!$O:$O,Submission!$H:$N,""))</f>
        <v/>
      </c>
      <c r="G17" s="260"/>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79" t="s">
        <v>1033</v>
      </c>
      <c r="D19" s="280"/>
      <c r="E19" s="280"/>
      <c r="F19" s="280"/>
      <c r="G19" s="280"/>
      <c r="H19" s="280"/>
      <c r="I19" s="280"/>
    </row>
    <row r="20" spans="1:9" s="11" customFormat="1" ht="14.4" x14ac:dyDescent="0.3"/>
    <row r="21" spans="1:9" ht="32.1" customHeight="1" x14ac:dyDescent="0.3">
      <c r="A21" s="12" t="s">
        <v>445</v>
      </c>
      <c r="B21" s="338" t="s">
        <v>1126</v>
      </c>
      <c r="C21" s="308"/>
      <c r="D21" s="308"/>
      <c r="E21" s="308"/>
      <c r="F21" s="308"/>
      <c r="G21" s="308"/>
      <c r="H21" s="308"/>
      <c r="I21" s="308"/>
    </row>
    <row r="22" spans="1:9" ht="15.9" customHeight="1" x14ac:dyDescent="0.3">
      <c r="B22" s="11"/>
      <c r="C22" s="317" t="s">
        <v>1127</v>
      </c>
      <c r="D22" s="370"/>
      <c r="E22" s="370"/>
      <c r="F22" s="370"/>
      <c r="G22" s="318"/>
      <c r="H22" s="335" t="str">
        <f>_xlfn.CONCAT(_xlfn.XLOOKUP("[AircraftOperatorsMandateArt15UseNumber][0][AircraftOperatorsMandateArt15UseNumber]",Submission!$O:$O,Submission!$H:$N,""))</f>
        <v>0</v>
      </c>
      <c r="I22" s="456"/>
    </row>
    <row r="23" spans="1:9" ht="26.4" customHeight="1" x14ac:dyDescent="0.3">
      <c r="B23" s="11"/>
      <c r="C23" s="397" t="s">
        <v>1128</v>
      </c>
      <c r="D23" s="397"/>
      <c r="E23" s="397"/>
      <c r="F23" s="397"/>
      <c r="G23" s="397"/>
      <c r="H23" s="397"/>
      <c r="I23" s="397"/>
    </row>
    <row r="24" spans="1:9" s="27" customFormat="1" ht="15.9" customHeight="1" x14ac:dyDescent="0.3">
      <c r="B24" s="21"/>
      <c r="D24" s="21"/>
      <c r="E24" s="21"/>
      <c r="F24" s="21"/>
      <c r="G24" s="21"/>
      <c r="H24" s="21"/>
    </row>
    <row r="25" spans="1:9" ht="32.1" customHeight="1" x14ac:dyDescent="0.3">
      <c r="A25" s="12"/>
      <c r="B25" s="275" t="s">
        <v>1129</v>
      </c>
      <c r="C25" s="276"/>
      <c r="D25" s="276"/>
      <c r="E25" s="276"/>
      <c r="F25" s="276"/>
      <c r="G25" s="276"/>
      <c r="H25" s="276"/>
      <c r="I25" s="276"/>
    </row>
    <row r="26" spans="1:9" x14ac:dyDescent="0.3">
      <c r="A26" s="12"/>
      <c r="B26" s="10"/>
      <c r="C26" s="317" t="s">
        <v>1082</v>
      </c>
      <c r="D26" s="370"/>
      <c r="E26" s="370"/>
      <c r="F26" s="318"/>
      <c r="G26" s="357" t="s">
        <v>1130</v>
      </c>
      <c r="H26" s="357"/>
      <c r="I26" s="357"/>
    </row>
    <row r="27" spans="1:9" s="27" customFormat="1" ht="15.9" customHeight="1" x14ac:dyDescent="0.3">
      <c r="B27" s="10"/>
      <c r="C27" s="254" t="str">
        <f>_xlfn.CONCAT(_xlfn.XLOOKUP("[S07_AircraftOperatorsUseArt15MandateDetail][1][AircraftOperatorID]",Submission!$O:$O,Submission!$H:$N,""))</f>
        <v/>
      </c>
      <c r="D27" s="254"/>
      <c r="E27" s="254"/>
      <c r="F27" s="254"/>
      <c r="G27" s="254" t="str">
        <f>_xlfn.CONCAT(_xlfn.XLOOKUP("[S07_AircraftOperatorsUseArt15MandateDetail][1][AircraftOperatorName]",Submission!$O:$O,Submission!$H:$N,""))</f>
        <v/>
      </c>
      <c r="H27" s="254"/>
      <c r="I27" s="254"/>
    </row>
    <row r="28" spans="1:9" s="27" customFormat="1" ht="15.9" customHeight="1" x14ac:dyDescent="0.3">
      <c r="B28" s="10"/>
      <c r="C28" s="254" t="str">
        <f>_xlfn.CONCAT(_xlfn.XLOOKUP("[S07_AircraftOperatorsUseArt15MandateDetail][2][AircraftOperatorID]",Submission!$O:$O,Submission!$H:$N,""))</f>
        <v/>
      </c>
      <c r="D28" s="254"/>
      <c r="E28" s="254"/>
      <c r="F28" s="254"/>
      <c r="G28" s="254" t="str">
        <f>_xlfn.CONCAT(_xlfn.XLOOKUP("[S07_AircraftOperatorsUseArt15MandateDetail][2][AircraftOperatorName]",Submission!$O:$O,Submission!$H:$N,""))</f>
        <v/>
      </c>
      <c r="H28" s="254"/>
      <c r="I28" s="254"/>
    </row>
    <row r="29" spans="1:9" s="27" customFormat="1" ht="15.9" hidden="1" customHeight="1" outlineLevel="1" x14ac:dyDescent="0.3">
      <c r="B29" s="10"/>
      <c r="C29" s="254" t="str">
        <f>_xlfn.CONCAT(_xlfn.XLOOKUP("[S07_AircraftOperatorsUseArt15MandateDetail][3][AircraftOperatorID]",Submission!$O:$O,Submission!$H:$N,""))</f>
        <v/>
      </c>
      <c r="D29" s="254"/>
      <c r="E29" s="254"/>
      <c r="F29" s="254"/>
      <c r="G29" s="254" t="str">
        <f>_xlfn.CONCAT(_xlfn.XLOOKUP("[S07_AircraftOperatorsUseArt15MandateDetail][3][AircraftOperatorName]",Submission!$O:$O,Submission!$H:$N,""))</f>
        <v/>
      </c>
      <c r="H29" s="254"/>
      <c r="I29" s="254"/>
    </row>
    <row r="30" spans="1:9" s="27" customFormat="1" ht="15.9" hidden="1" customHeight="1" outlineLevel="1" x14ac:dyDescent="0.3">
      <c r="B30" s="10"/>
      <c r="C30" s="254" t="str">
        <f>_xlfn.CONCAT(_xlfn.XLOOKUP("[S07_AircraftOperatorsUseArt15MandateDetail][4][AircraftOperatorID]",Submission!$O:$O,Submission!$H:$N,""))</f>
        <v/>
      </c>
      <c r="D30" s="254"/>
      <c r="E30" s="254"/>
      <c r="F30" s="254"/>
      <c r="G30" s="254" t="str">
        <f>_xlfn.CONCAT(_xlfn.XLOOKUP("[S07_AircraftOperatorsUseArt15MandateDetail][4][AircraftOperatorName]",Submission!$O:$O,Submission!$H:$N,""))</f>
        <v/>
      </c>
      <c r="H30" s="254"/>
      <c r="I30" s="254"/>
    </row>
    <row r="31" spans="1:9" s="27" customFormat="1" ht="15.9" hidden="1" customHeight="1" outlineLevel="1" x14ac:dyDescent="0.3">
      <c r="B31" s="10"/>
      <c r="C31" s="254" t="str">
        <f>_xlfn.CONCAT(_xlfn.XLOOKUP("[S07_AircraftOperatorsUseArt15MandateDetail][5][AircraftOperatorID]",Submission!$O:$O,Submission!$H:$N,""))</f>
        <v/>
      </c>
      <c r="D31" s="254"/>
      <c r="E31" s="254"/>
      <c r="F31" s="254"/>
      <c r="G31" s="254" t="str">
        <f>_xlfn.CONCAT(_xlfn.XLOOKUP("[S07_AircraftOperatorsUseArt15MandateDetail][5][AircraftOperatorName]",Submission!$O:$O,Submission!$H:$N,""))</f>
        <v/>
      </c>
      <c r="H31" s="254"/>
      <c r="I31" s="254"/>
    </row>
    <row r="32" spans="1:9" s="27" customFormat="1" ht="15.9" hidden="1" customHeight="1" outlineLevel="1" x14ac:dyDescent="0.3">
      <c r="B32" s="10"/>
      <c r="C32" s="254" t="str">
        <f>_xlfn.CONCAT(_xlfn.XLOOKUP("[S07_AircraftOperatorsUseArt15MandateDetail][6][AircraftOperatorID]",Submission!$O:$O,Submission!$H:$N,""))</f>
        <v/>
      </c>
      <c r="D32" s="254"/>
      <c r="E32" s="254"/>
      <c r="F32" s="254"/>
      <c r="G32" s="254" t="str">
        <f>_xlfn.CONCAT(_xlfn.XLOOKUP("[S07_AircraftOperatorsUseArt15MandateDetail][6][AircraftOperatorName]",Submission!$O:$O,Submission!$H:$N,""))</f>
        <v/>
      </c>
      <c r="H32" s="254"/>
      <c r="I32" s="254"/>
    </row>
    <row r="33" spans="2:9" s="27" customFormat="1" ht="15.9" hidden="1" customHeight="1" outlineLevel="1" x14ac:dyDescent="0.3">
      <c r="B33" s="10"/>
      <c r="C33" s="254" t="str">
        <f>_xlfn.CONCAT(_xlfn.XLOOKUP("[S07_AircraftOperatorsUseArt15MandateDetail][7][AircraftOperatorID]",Submission!$O:$O,Submission!$H:$N,""))</f>
        <v/>
      </c>
      <c r="D33" s="254"/>
      <c r="E33" s="254"/>
      <c r="F33" s="254"/>
      <c r="G33" s="254" t="str">
        <f>_xlfn.CONCAT(_xlfn.XLOOKUP("[S07_AircraftOperatorsUseArt15MandateDetail][7][AircraftOperatorName]",Submission!$O:$O,Submission!$H:$N,""))</f>
        <v/>
      </c>
      <c r="H33" s="254"/>
      <c r="I33" s="254"/>
    </row>
    <row r="34" spans="2:9" s="27" customFormat="1" ht="15.9" hidden="1" customHeight="1" outlineLevel="1" x14ac:dyDescent="0.3">
      <c r="B34" s="10"/>
      <c r="C34" s="254" t="str">
        <f>_xlfn.CONCAT(_xlfn.XLOOKUP("[S07_AircraftOperatorsUseArt15MandateDetail][8][AircraftOperatorID]",Submission!$O:$O,Submission!$H:$N,""))</f>
        <v/>
      </c>
      <c r="D34" s="254"/>
      <c r="E34" s="254"/>
      <c r="F34" s="254"/>
      <c r="G34" s="254" t="str">
        <f>_xlfn.CONCAT(_xlfn.XLOOKUP("[S07_AircraftOperatorsUseArt15MandateDetail][8][AircraftOperatorName]",Submission!$O:$O,Submission!$H:$N,""))</f>
        <v/>
      </c>
      <c r="H34" s="254"/>
      <c r="I34" s="254"/>
    </row>
    <row r="35" spans="2:9" s="27" customFormat="1" ht="15.9" hidden="1" customHeight="1" outlineLevel="1" x14ac:dyDescent="0.3">
      <c r="B35" s="10"/>
      <c r="C35" s="254" t="str">
        <f>_xlfn.CONCAT(_xlfn.XLOOKUP("[S07_AircraftOperatorsUseArt15MandateDetail][9][AircraftOperatorID]",Submission!$O:$O,Submission!$H:$N,""))</f>
        <v/>
      </c>
      <c r="D35" s="254"/>
      <c r="E35" s="254"/>
      <c r="F35" s="254"/>
      <c r="G35" s="254" t="str">
        <f>_xlfn.CONCAT(_xlfn.XLOOKUP("[S07_AircraftOperatorsUseArt15MandateDetail][9][AircraftOperatorName]",Submission!$O:$O,Submission!$H:$N,""))</f>
        <v/>
      </c>
      <c r="H35" s="254"/>
      <c r="I35" s="254"/>
    </row>
    <row r="36" spans="2:9" s="27" customFormat="1" ht="15.9" hidden="1" customHeight="1" outlineLevel="1" x14ac:dyDescent="0.3">
      <c r="B36" s="10"/>
      <c r="C36" s="254" t="str">
        <f>_xlfn.CONCAT(_xlfn.XLOOKUP("[S07_AircraftOperatorsUseArt15MandateDetail][10][AircraftOperatorID]",Submission!$O:$O,Submission!$H:$N,""))</f>
        <v/>
      </c>
      <c r="D36" s="254"/>
      <c r="E36" s="254"/>
      <c r="F36" s="254"/>
      <c r="G36" s="254" t="str">
        <f>_xlfn.CONCAT(_xlfn.XLOOKUP("[S07_AircraftOperatorsUseArt15MandateDetail][10][AircraftOperatorName]",Submission!$O:$O,Submission!$H:$N,""))</f>
        <v/>
      </c>
      <c r="H36" s="254"/>
      <c r="I36" s="254"/>
    </row>
    <row r="37" spans="2:9" s="27" customFormat="1" ht="15.9" hidden="1" customHeight="1" outlineLevel="1" x14ac:dyDescent="0.3">
      <c r="B37" s="10"/>
      <c r="C37" s="254" t="str">
        <f>_xlfn.CONCAT(_xlfn.XLOOKUP("[S07_AircraftOperatorsUseArt15MandateDetail][11][AircraftOperatorID]",Submission!$O:$O,Submission!$H:$N,""))</f>
        <v/>
      </c>
      <c r="D37" s="254"/>
      <c r="E37" s="254"/>
      <c r="F37" s="254"/>
      <c r="G37" s="254" t="str">
        <f>_xlfn.CONCAT(_xlfn.XLOOKUP("[S07_AircraftOperatorsUseArt15MandateDetail][11][AircraftOperatorName]",Submission!$O:$O,Submission!$H:$N,""))</f>
        <v/>
      </c>
      <c r="H37" s="254"/>
      <c r="I37" s="254"/>
    </row>
    <row r="38" spans="2:9" s="27" customFormat="1" ht="15.9" hidden="1" customHeight="1" outlineLevel="1" x14ac:dyDescent="0.3">
      <c r="B38" s="10"/>
      <c r="C38" s="254" t="str">
        <f>_xlfn.CONCAT(_xlfn.XLOOKUP("[S07_AircraftOperatorsUseArt15MandateDetail][12][AircraftOperatorID]",Submission!$O:$O,Submission!$H:$N,""))</f>
        <v/>
      </c>
      <c r="D38" s="254"/>
      <c r="E38" s="254"/>
      <c r="F38" s="254"/>
      <c r="G38" s="254" t="str">
        <f>_xlfn.CONCAT(_xlfn.XLOOKUP("[S07_AircraftOperatorsUseArt15MandateDetail][12][AircraftOperatorName]",Submission!$O:$O,Submission!$H:$N,""))</f>
        <v/>
      </c>
      <c r="H38" s="254"/>
      <c r="I38" s="254"/>
    </row>
    <row r="39" spans="2:9" s="27" customFormat="1" ht="15.9" hidden="1" customHeight="1" outlineLevel="1" x14ac:dyDescent="0.3">
      <c r="B39" s="10"/>
      <c r="C39" s="254" t="str">
        <f>_xlfn.CONCAT(_xlfn.XLOOKUP("[S07_AircraftOperatorsUseArt15MandateDetail][13][AircraftOperatorID]",Submission!$O:$O,Submission!$H:$N,""))</f>
        <v/>
      </c>
      <c r="D39" s="254"/>
      <c r="E39" s="254"/>
      <c r="F39" s="254"/>
      <c r="G39" s="254" t="str">
        <f>_xlfn.CONCAT(_xlfn.XLOOKUP("[S07_AircraftOperatorsUseArt15MandateDetail][13][AircraftOperatorName]",Submission!$O:$O,Submission!$H:$N,""))</f>
        <v/>
      </c>
      <c r="H39" s="254"/>
      <c r="I39" s="254"/>
    </row>
    <row r="40" spans="2:9" s="27" customFormat="1" ht="15.9" hidden="1" customHeight="1" outlineLevel="1" x14ac:dyDescent="0.3">
      <c r="B40" s="10"/>
      <c r="C40" s="254" t="str">
        <f>_xlfn.CONCAT(_xlfn.XLOOKUP("[S07_AircraftOperatorsUseArt15MandateDetail][14][AircraftOperatorID]",Submission!$O:$O,Submission!$H:$N,""))</f>
        <v/>
      </c>
      <c r="D40" s="254"/>
      <c r="E40" s="254"/>
      <c r="F40" s="254"/>
      <c r="G40" s="254" t="str">
        <f>_xlfn.CONCAT(_xlfn.XLOOKUP("[S07_AircraftOperatorsUseArt15MandateDetail][14][AircraftOperatorName]",Submission!$O:$O,Submission!$H:$N,""))</f>
        <v/>
      </c>
      <c r="H40" s="254"/>
      <c r="I40" s="254"/>
    </row>
    <row r="41" spans="2:9" s="27" customFormat="1" ht="15.9" hidden="1" customHeight="1" outlineLevel="1" x14ac:dyDescent="0.3">
      <c r="B41" s="10"/>
      <c r="C41" s="254" t="str">
        <f>_xlfn.CONCAT(_xlfn.XLOOKUP("[S07_AircraftOperatorsUseArt15MandateDetail][15][AircraftOperatorID]",Submission!$O:$O,Submission!$H:$N,""))</f>
        <v/>
      </c>
      <c r="D41" s="254"/>
      <c r="E41" s="254"/>
      <c r="F41" s="254"/>
      <c r="G41" s="254" t="str">
        <f>_xlfn.CONCAT(_xlfn.XLOOKUP("[S07_AircraftOperatorsUseArt15MandateDetail][15][AircraftOperatorName]",Submission!$O:$O,Submission!$H:$N,""))</f>
        <v/>
      </c>
      <c r="H41" s="254"/>
      <c r="I41" s="254"/>
    </row>
    <row r="42" spans="2:9" s="27" customFormat="1" ht="15.9" hidden="1" customHeight="1" outlineLevel="1" x14ac:dyDescent="0.3">
      <c r="B42" s="10"/>
      <c r="C42" s="254" t="str">
        <f>_xlfn.CONCAT(_xlfn.XLOOKUP("[S07_AircraftOperatorsUseArt15MandateDetail][16][AircraftOperatorID]",Submission!$O:$O,Submission!$H:$N,""))</f>
        <v/>
      </c>
      <c r="D42" s="254"/>
      <c r="E42" s="254"/>
      <c r="F42" s="254"/>
      <c r="G42" s="254" t="str">
        <f>_xlfn.CONCAT(_xlfn.XLOOKUP("[S07_AircraftOperatorsUseArt15MandateDetail][16][AircraftOperatorName]",Submission!$O:$O,Submission!$H:$N,""))</f>
        <v/>
      </c>
      <c r="H42" s="254"/>
      <c r="I42" s="254"/>
    </row>
    <row r="43" spans="2:9" s="27" customFormat="1" ht="15.9" hidden="1" customHeight="1" outlineLevel="1" x14ac:dyDescent="0.3">
      <c r="B43" s="10"/>
      <c r="C43" s="254" t="str">
        <f>_xlfn.CONCAT(_xlfn.XLOOKUP("[S07_AircraftOperatorsUseArt15MandateDetail][17][AircraftOperatorID]",Submission!$O:$O,Submission!$H:$N,""))</f>
        <v/>
      </c>
      <c r="D43" s="254"/>
      <c r="E43" s="254"/>
      <c r="F43" s="254"/>
      <c r="G43" s="254" t="str">
        <f>_xlfn.CONCAT(_xlfn.XLOOKUP("[S07_AircraftOperatorsUseArt15MandateDetail][17][AircraftOperatorName]",Submission!$O:$O,Submission!$H:$N,""))</f>
        <v/>
      </c>
      <c r="H43" s="254"/>
      <c r="I43" s="254"/>
    </row>
    <row r="44" spans="2:9" s="27" customFormat="1" ht="15.9" hidden="1" customHeight="1" outlineLevel="1" x14ac:dyDescent="0.3">
      <c r="B44" s="10"/>
      <c r="C44" s="254" t="str">
        <f>_xlfn.CONCAT(_xlfn.XLOOKUP("[S07_AircraftOperatorsUseArt15MandateDetail][18][AircraftOperatorID]",Submission!$O:$O,Submission!$H:$N,""))</f>
        <v/>
      </c>
      <c r="D44" s="254"/>
      <c r="E44" s="254"/>
      <c r="F44" s="254"/>
      <c r="G44" s="254" t="str">
        <f>_xlfn.CONCAT(_xlfn.XLOOKUP("[S07_AircraftOperatorsUseArt15MandateDetail][18][AircraftOperatorName]",Submission!$O:$O,Submission!$H:$N,""))</f>
        <v/>
      </c>
      <c r="H44" s="254"/>
      <c r="I44" s="254"/>
    </row>
    <row r="45" spans="2:9" s="27" customFormat="1" ht="15.9" hidden="1" customHeight="1" outlineLevel="1" x14ac:dyDescent="0.3">
      <c r="B45" s="10"/>
      <c r="C45" s="254" t="str">
        <f>_xlfn.CONCAT(_xlfn.XLOOKUP("[S07_AircraftOperatorsUseArt15MandateDetail][19][AircraftOperatorID]",Submission!$O:$O,Submission!$H:$N,""))</f>
        <v/>
      </c>
      <c r="D45" s="254"/>
      <c r="E45" s="254"/>
      <c r="F45" s="254"/>
      <c r="G45" s="254" t="str">
        <f>_xlfn.CONCAT(_xlfn.XLOOKUP("[S07_AircraftOperatorsUseArt15MandateDetail][19][AircraftOperatorName]",Submission!$O:$O,Submission!$H:$N,""))</f>
        <v/>
      </c>
      <c r="H45" s="254"/>
      <c r="I45" s="254"/>
    </row>
    <row r="46" spans="2:9" s="27" customFormat="1" ht="15.9" hidden="1" customHeight="1" outlineLevel="1" x14ac:dyDescent="0.3">
      <c r="B46" s="10"/>
      <c r="C46" s="254" t="str">
        <f>_xlfn.CONCAT(_xlfn.XLOOKUP("[S07_AircraftOperatorsUseArt15MandateDetail][20][AircraftOperatorID]",Submission!$O:$O,Submission!$H:$N,""))</f>
        <v/>
      </c>
      <c r="D46" s="254"/>
      <c r="E46" s="254"/>
      <c r="F46" s="254"/>
      <c r="G46" s="254" t="str">
        <f>_xlfn.CONCAT(_xlfn.XLOOKUP("[S07_AircraftOperatorsUseArt15MandateDetail][20][AircraftOperatorName]",Submission!$O:$O,Submission!$H:$N,""))</f>
        <v/>
      </c>
      <c r="H46" s="254"/>
      <c r="I46" s="254"/>
    </row>
    <row r="47" spans="2:9" s="27" customFormat="1" ht="15.9" hidden="1" customHeight="1" outlineLevel="1" x14ac:dyDescent="0.3">
      <c r="B47" s="10"/>
      <c r="C47" s="254" t="str">
        <f>_xlfn.CONCAT(_xlfn.XLOOKUP("[S07_AircraftOperatorsUseArt15MandateDetail][21][AircraftOperatorID]",Submission!$O:$O,Submission!$H:$N,""))</f>
        <v/>
      </c>
      <c r="D47" s="254"/>
      <c r="E47" s="254"/>
      <c r="F47" s="254"/>
      <c r="G47" s="254" t="str">
        <f>_xlfn.CONCAT(_xlfn.XLOOKUP("[S07_AircraftOperatorsUseArt15MandateDetail][21][AircraftOperatorName]",Submission!$O:$O,Submission!$H:$N,""))</f>
        <v/>
      </c>
      <c r="H47" s="254"/>
      <c r="I47" s="254"/>
    </row>
    <row r="48" spans="2:9" s="27" customFormat="1" ht="15.9" hidden="1" customHeight="1" outlineLevel="1" x14ac:dyDescent="0.3">
      <c r="B48" s="10"/>
      <c r="C48" s="254" t="str">
        <f>_xlfn.CONCAT(_xlfn.XLOOKUP("[S07_AircraftOperatorsUseArt15MandateDetail][22][AircraftOperatorID]",Submission!$O:$O,Submission!$H:$N,""))</f>
        <v/>
      </c>
      <c r="D48" s="254"/>
      <c r="E48" s="254"/>
      <c r="F48" s="254"/>
      <c r="G48" s="254" t="str">
        <f>_xlfn.CONCAT(_xlfn.XLOOKUP("[S07_AircraftOperatorsUseArt15MandateDetail][22][AircraftOperatorName]",Submission!$O:$O,Submission!$H:$N,""))</f>
        <v/>
      </c>
      <c r="H48" s="254"/>
      <c r="I48" s="254"/>
    </row>
    <row r="49" spans="2:9" s="27" customFormat="1" ht="15.9" hidden="1" customHeight="1" outlineLevel="1" x14ac:dyDescent="0.3">
      <c r="B49" s="10"/>
      <c r="C49" s="254" t="str">
        <f>_xlfn.CONCAT(_xlfn.XLOOKUP("[S07_AircraftOperatorsUseArt15MandateDetail][23][AircraftOperatorID]",Submission!$O:$O,Submission!$H:$N,""))</f>
        <v/>
      </c>
      <c r="D49" s="254"/>
      <c r="E49" s="254"/>
      <c r="F49" s="254"/>
      <c r="G49" s="254" t="str">
        <f>_xlfn.CONCAT(_xlfn.XLOOKUP("[S07_AircraftOperatorsUseArt15MandateDetail][23][AircraftOperatorName]",Submission!$O:$O,Submission!$H:$N,""))</f>
        <v/>
      </c>
      <c r="H49" s="254"/>
      <c r="I49" s="254"/>
    </row>
    <row r="50" spans="2:9" s="27" customFormat="1" ht="15.9" hidden="1" customHeight="1" outlineLevel="1" x14ac:dyDescent="0.3">
      <c r="B50" s="10"/>
      <c r="C50" s="254" t="str">
        <f>_xlfn.CONCAT(_xlfn.XLOOKUP("[S07_AircraftOperatorsUseArt15MandateDetail][24][AircraftOperatorID]",Submission!$O:$O,Submission!$H:$N,""))</f>
        <v/>
      </c>
      <c r="D50" s="254"/>
      <c r="E50" s="254"/>
      <c r="F50" s="254"/>
      <c r="G50" s="254" t="str">
        <f>_xlfn.CONCAT(_xlfn.XLOOKUP("[S07_AircraftOperatorsUseArt15MandateDetail][24][AircraftOperatorName]",Submission!$O:$O,Submission!$H:$N,""))</f>
        <v/>
      </c>
      <c r="H50" s="254"/>
      <c r="I50" s="254"/>
    </row>
    <row r="51" spans="2:9" s="27" customFormat="1" ht="15.9" hidden="1" customHeight="1" outlineLevel="1" x14ac:dyDescent="0.3">
      <c r="B51" s="10"/>
      <c r="C51" s="254" t="str">
        <f>_xlfn.CONCAT(_xlfn.XLOOKUP("[S07_AircraftOperatorsUseArt15MandateDetail][25][AircraftOperatorID]",Submission!$O:$O,Submission!$H:$N,""))</f>
        <v/>
      </c>
      <c r="D51" s="254"/>
      <c r="E51" s="254"/>
      <c r="F51" s="254"/>
      <c r="G51" s="254" t="str">
        <f>_xlfn.CONCAT(_xlfn.XLOOKUP("[S07_AircraftOperatorsUseArt15MandateDetail][25][AircraftOperatorName]",Submission!$O:$O,Submission!$H:$N,""))</f>
        <v/>
      </c>
      <c r="H51" s="254"/>
      <c r="I51" s="254"/>
    </row>
    <row r="52" spans="2:9" s="27" customFormat="1" ht="15.9" hidden="1" customHeight="1" outlineLevel="1" x14ac:dyDescent="0.3">
      <c r="B52" s="10"/>
      <c r="C52" s="254" t="str">
        <f>_xlfn.CONCAT(_xlfn.XLOOKUP("[S07_AircraftOperatorsUseArt15MandateDetail][26][AircraftOperatorID]",Submission!$O:$O,Submission!$H:$N,""))</f>
        <v/>
      </c>
      <c r="D52" s="254"/>
      <c r="E52" s="254"/>
      <c r="F52" s="254"/>
      <c r="G52" s="254" t="str">
        <f>_xlfn.CONCAT(_xlfn.XLOOKUP("[S07_AircraftOperatorsUseArt15MandateDetail][26][AircraftOperatorName]",Submission!$O:$O,Submission!$H:$N,""))</f>
        <v/>
      </c>
      <c r="H52" s="254"/>
      <c r="I52" s="254"/>
    </row>
    <row r="53" spans="2:9" s="27" customFormat="1" ht="15.9" hidden="1" customHeight="1" outlineLevel="1" x14ac:dyDescent="0.3">
      <c r="B53" s="10"/>
      <c r="C53" s="254" t="str">
        <f>_xlfn.CONCAT(_xlfn.XLOOKUP("[S07_AircraftOperatorsUseArt15MandateDetail][27][AircraftOperatorID]",Submission!$O:$O,Submission!$H:$N,""))</f>
        <v/>
      </c>
      <c r="D53" s="254"/>
      <c r="E53" s="254"/>
      <c r="F53" s="254"/>
      <c r="G53" s="254" t="str">
        <f>_xlfn.CONCAT(_xlfn.XLOOKUP("[S07_AircraftOperatorsUseArt15MandateDetail][27][AircraftOperatorName]",Submission!$O:$O,Submission!$H:$N,""))</f>
        <v/>
      </c>
      <c r="H53" s="254"/>
      <c r="I53" s="254"/>
    </row>
    <row r="54" spans="2:9" s="27" customFormat="1" ht="15.9" hidden="1" customHeight="1" outlineLevel="1" x14ac:dyDescent="0.3">
      <c r="B54" s="10"/>
      <c r="C54" s="254" t="str">
        <f>_xlfn.CONCAT(_xlfn.XLOOKUP("[S07_AircraftOperatorsUseArt15MandateDetail][28][AircraftOperatorID]",Submission!$O:$O,Submission!$H:$N,""))</f>
        <v/>
      </c>
      <c r="D54" s="254"/>
      <c r="E54" s="254"/>
      <c r="F54" s="254"/>
      <c r="G54" s="254" t="str">
        <f>_xlfn.CONCAT(_xlfn.XLOOKUP("[S07_AircraftOperatorsUseArt15MandateDetail][28][AircraftOperatorName]",Submission!$O:$O,Submission!$H:$N,""))</f>
        <v/>
      </c>
      <c r="H54" s="254"/>
      <c r="I54" s="254"/>
    </row>
    <row r="55" spans="2:9" s="27" customFormat="1" ht="15.9" hidden="1" customHeight="1" outlineLevel="1" x14ac:dyDescent="0.3">
      <c r="B55" s="10"/>
      <c r="C55" s="254" t="str">
        <f>_xlfn.CONCAT(_xlfn.XLOOKUP("[S07_AircraftOperatorsUseArt15MandateDetail][29][AircraftOperatorID]",Submission!$O:$O,Submission!$H:$N,""))</f>
        <v/>
      </c>
      <c r="D55" s="254"/>
      <c r="E55" s="254"/>
      <c r="F55" s="254"/>
      <c r="G55" s="254" t="str">
        <f>_xlfn.CONCAT(_xlfn.XLOOKUP("[S07_AircraftOperatorsUseArt15MandateDetail][29][AircraftOperatorName]",Submission!$O:$O,Submission!$H:$N,""))</f>
        <v/>
      </c>
      <c r="H55" s="254"/>
      <c r="I55" s="254"/>
    </row>
    <row r="56" spans="2:9" s="27" customFormat="1" ht="15.9" hidden="1" customHeight="1" outlineLevel="1" x14ac:dyDescent="0.3">
      <c r="B56" s="10"/>
      <c r="C56" s="254" t="str">
        <f>_xlfn.CONCAT(_xlfn.XLOOKUP("[S07_AircraftOperatorsUseArt15MandateDetail][30][AircraftOperatorID]",Submission!$O:$O,Submission!$H:$N,""))</f>
        <v/>
      </c>
      <c r="D56" s="254"/>
      <c r="E56" s="254"/>
      <c r="F56" s="254"/>
      <c r="G56" s="254" t="str">
        <f>_xlfn.CONCAT(_xlfn.XLOOKUP("[S07_AircraftOperatorsUseArt15MandateDetail][30][AircraftOperatorName]",Submission!$O:$O,Submission!$H:$N,""))</f>
        <v/>
      </c>
      <c r="H56" s="254"/>
      <c r="I56" s="254"/>
    </row>
    <row r="57" spans="2:9" s="27" customFormat="1" ht="15.9" hidden="1" customHeight="1" outlineLevel="1" x14ac:dyDescent="0.3">
      <c r="B57" s="10"/>
      <c r="C57" s="254" t="str">
        <f>_xlfn.CONCAT(_xlfn.XLOOKUP("[S07_AircraftOperatorsUseArt15MandateDetail][31][AircraftOperatorID]",Submission!$O:$O,Submission!$H:$N,""))</f>
        <v/>
      </c>
      <c r="D57" s="254"/>
      <c r="E57" s="254"/>
      <c r="F57" s="254"/>
      <c r="G57" s="254" t="str">
        <f>_xlfn.CONCAT(_xlfn.XLOOKUP("[S07_AircraftOperatorsUseArt15MandateDetail][31][AircraftOperatorName]",Submission!$O:$O,Submission!$H:$N,""))</f>
        <v/>
      </c>
      <c r="H57" s="254"/>
      <c r="I57" s="254"/>
    </row>
    <row r="58" spans="2:9" s="27" customFormat="1" ht="15.9" hidden="1" customHeight="1" outlineLevel="1" x14ac:dyDescent="0.3">
      <c r="B58" s="10"/>
      <c r="C58" s="254" t="str">
        <f>_xlfn.CONCAT(_xlfn.XLOOKUP("[S07_AircraftOperatorsUseArt15MandateDetail][32][AircraftOperatorID]",Submission!$O:$O,Submission!$H:$N,""))</f>
        <v/>
      </c>
      <c r="D58" s="254"/>
      <c r="E58" s="254"/>
      <c r="F58" s="254"/>
      <c r="G58" s="254" t="str">
        <f>_xlfn.CONCAT(_xlfn.XLOOKUP("[S07_AircraftOperatorsUseArt15MandateDetail][32][AircraftOperatorName]",Submission!$O:$O,Submission!$H:$N,""))</f>
        <v/>
      </c>
      <c r="H58" s="254"/>
      <c r="I58" s="254"/>
    </row>
    <row r="59" spans="2:9" s="27" customFormat="1" ht="15.9" hidden="1" customHeight="1" outlineLevel="1" x14ac:dyDescent="0.3">
      <c r="B59" s="10"/>
      <c r="C59" s="254" t="str">
        <f>_xlfn.CONCAT(_xlfn.XLOOKUP("[S07_AircraftOperatorsUseArt15MandateDetail][33][AircraftOperatorID]",Submission!$O:$O,Submission!$H:$N,""))</f>
        <v/>
      </c>
      <c r="D59" s="254"/>
      <c r="E59" s="254"/>
      <c r="F59" s="254"/>
      <c r="G59" s="254" t="str">
        <f>_xlfn.CONCAT(_xlfn.XLOOKUP("[S07_AircraftOperatorsUseArt15MandateDetail][33][AircraftOperatorName]",Submission!$O:$O,Submission!$H:$N,""))</f>
        <v/>
      </c>
      <c r="H59" s="254"/>
      <c r="I59" s="254"/>
    </row>
    <row r="60" spans="2:9" s="27" customFormat="1" ht="15.9" hidden="1" customHeight="1" outlineLevel="1" x14ac:dyDescent="0.3">
      <c r="B60" s="10"/>
      <c r="C60" s="254" t="str">
        <f>_xlfn.CONCAT(_xlfn.XLOOKUP("[S07_AircraftOperatorsUseArt15MandateDetail][34][AircraftOperatorID]",Submission!$O:$O,Submission!$H:$N,""))</f>
        <v/>
      </c>
      <c r="D60" s="254"/>
      <c r="E60" s="254"/>
      <c r="F60" s="254"/>
      <c r="G60" s="254" t="str">
        <f>_xlfn.CONCAT(_xlfn.XLOOKUP("[S07_AircraftOperatorsUseArt15MandateDetail][34][AircraftOperatorName]",Submission!$O:$O,Submission!$H:$N,""))</f>
        <v/>
      </c>
      <c r="H60" s="254"/>
      <c r="I60" s="254"/>
    </row>
    <row r="61" spans="2:9" s="27" customFormat="1" ht="15.9" hidden="1" customHeight="1" outlineLevel="1" x14ac:dyDescent="0.3">
      <c r="B61" s="10"/>
      <c r="C61" s="254" t="str">
        <f>_xlfn.CONCAT(_xlfn.XLOOKUP("[S07_AircraftOperatorsUseArt15MandateDetail][35][AircraftOperatorID]",Submission!$O:$O,Submission!$H:$N,""))</f>
        <v/>
      </c>
      <c r="D61" s="254"/>
      <c r="E61" s="254"/>
      <c r="F61" s="254"/>
      <c r="G61" s="254" t="str">
        <f>_xlfn.CONCAT(_xlfn.XLOOKUP("[S07_AircraftOperatorsUseArt15MandateDetail][35][AircraftOperatorName]",Submission!$O:$O,Submission!$H:$N,""))</f>
        <v/>
      </c>
      <c r="H61" s="254"/>
      <c r="I61" s="254"/>
    </row>
    <row r="62" spans="2:9" s="27" customFormat="1" ht="15.9" hidden="1" customHeight="1" outlineLevel="1" x14ac:dyDescent="0.3">
      <c r="B62" s="10"/>
      <c r="C62" s="254" t="str">
        <f>_xlfn.CONCAT(_xlfn.XLOOKUP("[S07_AircraftOperatorsUseArt15MandateDetail][36][AircraftOperatorID]",Submission!$O:$O,Submission!$H:$N,""))</f>
        <v/>
      </c>
      <c r="D62" s="254"/>
      <c r="E62" s="254"/>
      <c r="F62" s="254"/>
      <c r="G62" s="254" t="str">
        <f>_xlfn.CONCAT(_xlfn.XLOOKUP("[S07_AircraftOperatorsUseArt15MandateDetail][36][AircraftOperatorName]",Submission!$O:$O,Submission!$H:$N,""))</f>
        <v/>
      </c>
      <c r="H62" s="254"/>
      <c r="I62" s="254"/>
    </row>
    <row r="63" spans="2:9" s="27" customFormat="1" ht="15.9" hidden="1" customHeight="1" outlineLevel="1" x14ac:dyDescent="0.3">
      <c r="B63" s="10"/>
      <c r="C63" s="254" t="str">
        <f>_xlfn.CONCAT(_xlfn.XLOOKUP("[S07_AircraftOperatorsUseArt15MandateDetail][37][AircraftOperatorID]",Submission!$O:$O,Submission!$H:$N,""))</f>
        <v/>
      </c>
      <c r="D63" s="254"/>
      <c r="E63" s="254"/>
      <c r="F63" s="254"/>
      <c r="G63" s="254" t="str">
        <f>_xlfn.CONCAT(_xlfn.XLOOKUP("[S07_AircraftOperatorsUseArt15MandateDetail][37][AircraftOperatorName]",Submission!$O:$O,Submission!$H:$N,""))</f>
        <v/>
      </c>
      <c r="H63" s="254"/>
      <c r="I63" s="254"/>
    </row>
    <row r="64" spans="2:9" s="27" customFormat="1" ht="15.9" hidden="1" customHeight="1" outlineLevel="1" x14ac:dyDescent="0.3">
      <c r="B64" s="10"/>
      <c r="C64" s="254" t="str">
        <f>_xlfn.CONCAT(_xlfn.XLOOKUP("[S07_AircraftOperatorsUseArt15MandateDetail][38][AircraftOperatorID]",Submission!$O:$O,Submission!$H:$N,""))</f>
        <v/>
      </c>
      <c r="D64" s="254"/>
      <c r="E64" s="254"/>
      <c r="F64" s="254"/>
      <c r="G64" s="254" t="str">
        <f>_xlfn.CONCAT(_xlfn.XLOOKUP("[S07_AircraftOperatorsUseArt15MandateDetail][38][AircraftOperatorName]",Submission!$O:$O,Submission!$H:$N,""))</f>
        <v/>
      </c>
      <c r="H64" s="254"/>
      <c r="I64" s="254"/>
    </row>
    <row r="65" spans="1:9" s="27" customFormat="1" ht="15.9" hidden="1" customHeight="1" outlineLevel="1" x14ac:dyDescent="0.3">
      <c r="B65" s="10"/>
      <c r="C65" s="254" t="str">
        <f>_xlfn.CONCAT(_xlfn.XLOOKUP("[S07_AircraftOperatorsUseArt15MandateDetail][39][AircraftOperatorID]",Submission!$O:$O,Submission!$H:$N,""))</f>
        <v/>
      </c>
      <c r="D65" s="254"/>
      <c r="E65" s="254"/>
      <c r="F65" s="254"/>
      <c r="G65" s="254" t="str">
        <f>_xlfn.CONCAT(_xlfn.XLOOKUP("[S07_AircraftOperatorsUseArt15MandateDetail][39][AircraftOperatorName]",Submission!$O:$O,Submission!$H:$N,""))</f>
        <v/>
      </c>
      <c r="H65" s="254"/>
      <c r="I65" s="254"/>
    </row>
    <row r="66" spans="1:9" s="27" customFormat="1" ht="15.9" hidden="1" customHeight="1" outlineLevel="1" x14ac:dyDescent="0.3">
      <c r="B66" s="10"/>
      <c r="C66" s="254" t="str">
        <f>_xlfn.CONCAT(_xlfn.XLOOKUP("[S07_AircraftOperatorsUseArt15MandateDetail][40][AircraftOperatorID]",Submission!$O:$O,Submission!$H:$N,""))</f>
        <v/>
      </c>
      <c r="D66" s="254"/>
      <c r="E66" s="254"/>
      <c r="F66" s="254"/>
      <c r="G66" s="254" t="str">
        <f>_xlfn.CONCAT(_xlfn.XLOOKUP("[S07_AircraftOperatorsUseArt15MandateDetail][40][AircraftOperatorName]",Submission!$O:$O,Submission!$H:$N,""))</f>
        <v/>
      </c>
      <c r="H66" s="254"/>
      <c r="I66" s="254"/>
    </row>
    <row r="67" spans="1:9" ht="15.9" customHeight="1" collapsed="1" x14ac:dyDescent="0.3">
      <c r="A67" s="13"/>
      <c r="B67" s="26" t="s">
        <v>2</v>
      </c>
      <c r="C67" s="19"/>
      <c r="D67" s="20"/>
      <c r="E67" s="20"/>
      <c r="F67" s="20"/>
      <c r="G67" s="20"/>
      <c r="H67" s="20"/>
      <c r="I67" s="20"/>
    </row>
    <row r="68" spans="1:9" ht="15.9" customHeight="1" x14ac:dyDescent="0.3">
      <c r="C68" s="279" t="s">
        <v>1131</v>
      </c>
      <c r="D68" s="280"/>
      <c r="E68" s="280"/>
      <c r="F68" s="280"/>
      <c r="G68" s="280"/>
      <c r="H68" s="280"/>
      <c r="I68" s="280"/>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09" t="s">
        <v>450</v>
      </c>
      <c r="C3" s="309"/>
      <c r="D3" s="309"/>
      <c r="E3" s="309"/>
      <c r="F3" s="309"/>
      <c r="G3" s="309"/>
      <c r="H3" s="309"/>
      <c r="I3" s="309"/>
    </row>
    <row r="4" spans="1:9" s="7" customFormat="1" ht="18.899999999999999" customHeight="1" x14ac:dyDescent="0.35">
      <c r="A4" s="85" t="s">
        <v>451</v>
      </c>
      <c r="B4" s="310" t="s">
        <v>145</v>
      </c>
      <c r="C4" s="310"/>
      <c r="D4" s="310"/>
      <c r="E4" s="310"/>
      <c r="F4" s="310"/>
      <c r="G4" s="310"/>
      <c r="H4" s="310"/>
      <c r="I4" s="311"/>
    </row>
    <row r="5" spans="1:9" s="7" customFormat="1" ht="15.6" customHeight="1" x14ac:dyDescent="0.3">
      <c r="A5" s="12" t="s">
        <v>452</v>
      </c>
      <c r="B5" s="480" t="s">
        <v>1132</v>
      </c>
      <c r="C5" s="480"/>
      <c r="D5" s="480"/>
      <c r="E5" s="480"/>
      <c r="F5" s="480"/>
      <c r="G5" s="480"/>
      <c r="H5" s="480"/>
      <c r="I5" s="480"/>
    </row>
    <row r="6" spans="1:9" s="11" customFormat="1" ht="33" customHeight="1" x14ac:dyDescent="0.3">
      <c r="A6" s="12"/>
      <c r="B6" s="338" t="s">
        <v>1133</v>
      </c>
      <c r="C6" s="308"/>
      <c r="D6" s="308"/>
      <c r="E6" s="308"/>
      <c r="F6" s="308"/>
      <c r="G6" s="308"/>
      <c r="H6" s="345"/>
      <c r="I6" s="41" t="str">
        <f>_xlfn.CONCAT(_xlfn.XLOOKUP("[CommissionTemplatesAllocation][0][CommissionTemplatesAllocation]",Submission!$O:$O,Submission!$H:$N,""))</f>
        <v>Yes</v>
      </c>
    </row>
    <row r="7" spans="1:9" ht="49.95" customHeight="1" x14ac:dyDescent="0.3">
      <c r="A7" s="13"/>
      <c r="B7" s="338" t="s">
        <v>1134</v>
      </c>
      <c r="C7" s="308"/>
      <c r="D7" s="308"/>
      <c r="E7" s="308"/>
      <c r="F7" s="308"/>
      <c r="G7" s="308"/>
      <c r="H7" s="308"/>
      <c r="I7" s="308"/>
    </row>
    <row r="8" spans="1:9" x14ac:dyDescent="0.3">
      <c r="C8" s="514"/>
      <c r="D8" s="515"/>
      <c r="E8" s="319" t="s">
        <v>1135</v>
      </c>
      <c r="F8" s="321"/>
      <c r="G8" s="319" t="s">
        <v>1136</v>
      </c>
      <c r="H8" s="320"/>
      <c r="I8" s="321"/>
    </row>
    <row r="9" spans="1:9" ht="27.6" customHeight="1" x14ac:dyDescent="0.3">
      <c r="C9" s="319" t="s">
        <v>1137</v>
      </c>
      <c r="D9" s="321"/>
      <c r="E9" s="274" t="str">
        <f>_xlfn.CONCAT(_xlfn.XLOOKUP("[S08_MSCustomisedTemplatesAllocation][1][SpecificTemplateOrFileFormat]",Submission!$O:$O,Submission!$H:$N,""))</f>
        <v/>
      </c>
      <c r="F9" s="364"/>
      <c r="G9" s="510" t="str">
        <f>_xlfn.CONCAT(_xlfn.XLOOKUP("[S08_MSCustomisedTemplatesAllocation][1][HowTemplateSpecific]",Submission!$O:$O,Submission!$H:$N,""))</f>
        <v/>
      </c>
      <c r="H9" s="511"/>
      <c r="I9" s="512"/>
    </row>
    <row r="10" spans="1:9" ht="27.6" customHeight="1" x14ac:dyDescent="0.3">
      <c r="C10" s="357" t="s">
        <v>1138</v>
      </c>
      <c r="D10" s="357"/>
      <c r="E10" s="274" t="str">
        <f>_xlfn.CONCAT(_xlfn.XLOOKUP("[S08_MSCustomisedTemplatesAllocation][2][SpecificTemplateOrFileFormat]",Submission!$O:$O,Submission!$H:$N,""))</f>
        <v/>
      </c>
      <c r="F10" s="364"/>
      <c r="G10" s="513" t="str">
        <f>_xlfn.CONCAT(_xlfn.XLOOKUP("[S08_MSCustomisedTemplatesAllocation][2][HowTemplateSpecific]",Submission!$O:$O,Submission!$H:$N,""))</f>
        <v/>
      </c>
      <c r="H10" s="513"/>
      <c r="I10" s="513"/>
    </row>
    <row r="11" spans="1:9" ht="27.6" customHeight="1" x14ac:dyDescent="0.3">
      <c r="C11" s="319" t="s">
        <v>1139</v>
      </c>
      <c r="D11" s="321"/>
      <c r="E11" s="274" t="str">
        <f>_xlfn.CONCAT(_xlfn.XLOOKUP("[S08_MSCustomisedTemplatesAllocation][3][SpecificTemplateOrFileFormat]",Submission!$O:$O,Submission!$H:$N,""))</f>
        <v/>
      </c>
      <c r="F11" s="364"/>
      <c r="G11" s="517" t="str">
        <f>_xlfn.CONCAT(_xlfn.XLOOKUP("[S08_MSCustomisedTemplatesAllocation][3][HowTemplateSpecific]",Submission!$O:$O,Submission!$H:$N,""))</f>
        <v/>
      </c>
      <c r="H11" s="511"/>
      <c r="I11" s="512"/>
    </row>
    <row r="12" spans="1:9" ht="27.6" customHeight="1" x14ac:dyDescent="0.3">
      <c r="C12" s="319" t="s">
        <v>1140</v>
      </c>
      <c r="D12" s="321"/>
      <c r="E12" s="274" t="str">
        <f>_xlfn.CONCAT(_xlfn.XLOOKUP("[S08_MSCustomisedTemplatesAllocation][4][SpecificTemplateOrFileFormat]",Submission!$O:$O,Submission!$H:$N,""))</f>
        <v/>
      </c>
      <c r="F12" s="364"/>
      <c r="G12" s="517" t="str">
        <f>_xlfn.CONCAT(_xlfn.XLOOKUP("[S08_MSCustomisedTemplatesAllocation][4][HowTemplateSpecific]",Submission!$O:$O,Submission!$H:$N,""))</f>
        <v/>
      </c>
      <c r="H12" s="511"/>
      <c r="I12" s="512"/>
    </row>
    <row r="13" spans="1:9" x14ac:dyDescent="0.3">
      <c r="C13" s="279" t="s">
        <v>831</v>
      </c>
      <c r="D13" s="279"/>
      <c r="E13" s="279"/>
      <c r="F13" s="279"/>
      <c r="G13" s="279"/>
      <c r="H13" s="279"/>
      <c r="I13" s="279"/>
    </row>
    <row r="14" spans="1:9" x14ac:dyDescent="0.3">
      <c r="C14" s="466" t="s">
        <v>1141</v>
      </c>
      <c r="D14" s="466"/>
      <c r="E14" s="466"/>
      <c r="F14" s="466"/>
      <c r="G14" s="466"/>
      <c r="H14" s="466"/>
      <c r="I14" s="466"/>
    </row>
    <row r="15" spans="1:9" x14ac:dyDescent="0.3">
      <c r="C15" s="10"/>
      <c r="D15" s="10"/>
      <c r="E15" s="10"/>
      <c r="F15" s="10"/>
      <c r="G15" s="10"/>
      <c r="H15" s="10"/>
      <c r="I15" s="10"/>
    </row>
    <row r="16" spans="1:9" x14ac:dyDescent="0.3">
      <c r="A16" s="12" t="s">
        <v>459</v>
      </c>
      <c r="B16" s="481" t="s">
        <v>1142</v>
      </c>
      <c r="C16" s="481"/>
      <c r="D16" s="481"/>
      <c r="E16" s="481"/>
      <c r="F16" s="481"/>
      <c r="G16" s="481"/>
      <c r="H16" s="481"/>
      <c r="I16" s="481"/>
    </row>
    <row r="17" spans="1:9" ht="30.6" customHeight="1" x14ac:dyDescent="0.3">
      <c r="A17" s="12"/>
      <c r="B17" s="338" t="s">
        <v>1143</v>
      </c>
      <c r="C17" s="308"/>
      <c r="D17" s="308"/>
      <c r="E17" s="308"/>
      <c r="F17" s="308"/>
      <c r="G17" s="308"/>
      <c r="H17" s="345"/>
      <c r="I17" s="41" t="str">
        <f>_xlfn.CONCAT(_xlfn.XLOOKUP("[FeesAllocation][0][FeesAllocation]",Submission!$O:$O,Submission!$H:$N,""))</f>
        <v>No</v>
      </c>
    </row>
    <row r="18" spans="1:9" x14ac:dyDescent="0.3">
      <c r="B18" s="467" t="s">
        <v>1144</v>
      </c>
      <c r="C18" s="467"/>
      <c r="D18" s="467"/>
      <c r="E18" s="467"/>
      <c r="F18" s="467"/>
      <c r="G18" s="467"/>
      <c r="H18" s="467"/>
      <c r="I18" s="467"/>
    </row>
    <row r="19" spans="1:9" x14ac:dyDescent="0.3">
      <c r="C19" s="435" t="s">
        <v>1145</v>
      </c>
      <c r="D19" s="436"/>
      <c r="E19" s="436"/>
      <c r="F19" s="437"/>
      <c r="G19" s="435" t="s">
        <v>1146</v>
      </c>
      <c r="H19" s="436"/>
      <c r="I19" s="437"/>
    </row>
    <row r="20" spans="1:9" x14ac:dyDescent="0.3">
      <c r="C20" s="468" t="s">
        <v>1147</v>
      </c>
      <c r="D20" s="469"/>
      <c r="E20" s="469"/>
      <c r="F20" s="470"/>
      <c r="G20" s="507" t="str">
        <f>_xlfn.CONCAT(_xlfn.XLOOKUP("[S08_FeesAllocationDetail][1][FeeAmount]",Submission!$O:$O,Submission!$H:$N,""))</f>
        <v/>
      </c>
      <c r="H20" s="508"/>
      <c r="I20" s="509"/>
    </row>
    <row r="21" spans="1:9" x14ac:dyDescent="0.3">
      <c r="C21" s="468" t="s">
        <v>1148</v>
      </c>
      <c r="D21" s="469"/>
      <c r="E21" s="469"/>
      <c r="F21" s="470"/>
      <c r="G21" s="507" t="str">
        <f>_xlfn.CONCAT(_xlfn.XLOOKUP("[S08_FeesAllocationDetail][2][FeeAmount]",Submission!$O:$O,Submission!$H:$N,""))</f>
        <v/>
      </c>
      <c r="H21" s="508"/>
      <c r="I21" s="509"/>
    </row>
    <row r="22" spans="1:9" x14ac:dyDescent="0.3">
      <c r="C22" s="468" t="s">
        <v>697</v>
      </c>
      <c r="D22" s="469"/>
      <c r="E22" s="255" t="str">
        <f>_xlfn.CONCAT(_xlfn.XLOOKUP("[S08_FeesAllocationDetail][3][FeeOther]",Submission!$O:$O,Submission!$H:$N,""))</f>
        <v/>
      </c>
      <c r="F22" s="256"/>
      <c r="G22" s="507" t="str">
        <f>_xlfn.CONCAT(_xlfn.XLOOKUP("[S08_FeesAllocationDetail][3][FeeAmount]",Submission!$O:$O,Submission!$H:$N,""))</f>
        <v/>
      </c>
      <c r="H22" s="508"/>
      <c r="I22" s="509"/>
    </row>
    <row r="23" spans="1:9" hidden="1" outlineLevel="1" x14ac:dyDescent="0.3">
      <c r="C23" s="468" t="s">
        <v>1149</v>
      </c>
      <c r="D23" s="469"/>
      <c r="E23" s="255" t="str">
        <f>_xlfn.CONCAT(_xlfn.XLOOKUP("[S08_FeesAllocationDetail][4][FeeOther]",Submission!$O:$O,Submission!$H:$N,""))</f>
        <v/>
      </c>
      <c r="F23" s="256"/>
      <c r="G23" s="507" t="str">
        <f>_xlfn.CONCAT(_xlfn.XLOOKUP("[S08_FeesAllocationDetail][4][FeeAmount]",Submission!$O:$O,Submission!$H:$N,""))</f>
        <v/>
      </c>
      <c r="H23" s="508"/>
      <c r="I23" s="509"/>
    </row>
    <row r="24" spans="1:9" hidden="1" outlineLevel="1" x14ac:dyDescent="0.3">
      <c r="C24" s="468" t="s">
        <v>1150</v>
      </c>
      <c r="D24" s="469"/>
      <c r="E24" s="255" t="str">
        <f>_xlfn.CONCAT(_xlfn.XLOOKUP("[S08_FeesAllocationDetail][5][FeeOther]",Submission!$O:$O,Submission!$H:$N,""))</f>
        <v/>
      </c>
      <c r="F24" s="256"/>
      <c r="G24" s="507" t="str">
        <f>_xlfn.CONCAT(_xlfn.XLOOKUP("[S08_FeesAllocationDetail][5][FeeAmount]",Submission!$O:$O,Submission!$H:$N,""))</f>
        <v/>
      </c>
      <c r="H24" s="508"/>
      <c r="I24" s="509"/>
    </row>
    <row r="25" spans="1:9" hidden="1" outlineLevel="1" x14ac:dyDescent="0.3">
      <c r="C25" s="468" t="s">
        <v>1151</v>
      </c>
      <c r="D25" s="469"/>
      <c r="E25" s="255" t="str">
        <f>_xlfn.CONCAT(_xlfn.XLOOKUP("[S08_FeesAllocationDetail][6][FeeOther]",Submission!$O:$O,Submission!$H:$N,""))</f>
        <v/>
      </c>
      <c r="F25" s="256"/>
      <c r="G25" s="507" t="str">
        <f>_xlfn.CONCAT(_xlfn.XLOOKUP("[S08_FeesAllocationDetail][6][FeeAmount]",Submission!$O:$O,Submission!$H:$N,""))</f>
        <v/>
      </c>
      <c r="H25" s="508"/>
      <c r="I25" s="509"/>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1" t="s">
        <v>1152</v>
      </c>
      <c r="C28" s="481"/>
      <c r="D28" s="481"/>
      <c r="E28" s="481"/>
      <c r="F28" s="481"/>
      <c r="G28" s="481"/>
      <c r="H28" s="481"/>
      <c r="I28" s="481"/>
    </row>
    <row r="29" spans="1:9" ht="28.5" customHeight="1" x14ac:dyDescent="0.3">
      <c r="A29" s="12"/>
      <c r="B29" s="338" t="s">
        <v>1153</v>
      </c>
      <c r="C29" s="308"/>
      <c r="D29" s="308"/>
      <c r="E29" s="308"/>
      <c r="F29" s="308"/>
      <c r="G29" s="308"/>
      <c r="H29" s="345"/>
      <c r="I29" s="41" t="str">
        <f>_xlfn.CONCAT(_xlfn.XLOOKUP("[ITforAllocationData][0][ITforAllocationData]",Submission!$O:$O,Submission!$H:$N,""))</f>
        <v>No</v>
      </c>
    </row>
    <row r="31" spans="1:9" x14ac:dyDescent="0.3">
      <c r="A31" s="12" t="s">
        <v>468</v>
      </c>
      <c r="B31" s="338" t="s">
        <v>1154</v>
      </c>
      <c r="C31" s="308"/>
      <c r="D31" s="308"/>
      <c r="E31" s="308"/>
      <c r="F31" s="308"/>
      <c r="G31" s="308"/>
      <c r="H31" s="308"/>
      <c r="I31" s="308"/>
    </row>
    <row r="32" spans="1:9" x14ac:dyDescent="0.3">
      <c r="C32" s="330"/>
      <c r="D32" s="331"/>
      <c r="E32" s="331"/>
      <c r="F32" s="516"/>
      <c r="G32" s="314" t="s">
        <v>1045</v>
      </c>
      <c r="H32" s="333"/>
      <c r="I32" s="334"/>
    </row>
    <row r="33" spans="1:9" ht="27.6" customHeight="1" x14ac:dyDescent="0.3">
      <c r="C33" s="314" t="s">
        <v>1155</v>
      </c>
      <c r="D33" s="333"/>
      <c r="E33" s="333"/>
      <c r="F33" s="334"/>
      <c r="G33" s="474" t="str">
        <f>_xlfn.CONCAT(_xlfn.XLOOKUP("[S08_RenunciationSuspensionAllowances][1][NumberOfInstallations]",Submission!$O:$O,Submission!$H:$N,""))</f>
        <v/>
      </c>
      <c r="H33" s="475"/>
      <c r="I33" s="476"/>
    </row>
    <row r="34" spans="1:9" ht="28.95" customHeight="1" x14ac:dyDescent="0.3">
      <c r="C34" s="314" t="s">
        <v>1156</v>
      </c>
      <c r="D34" s="333"/>
      <c r="E34" s="333"/>
      <c r="F34" s="334"/>
      <c r="G34" s="474" t="str">
        <f>_xlfn.CONCAT(_xlfn.XLOOKUP("[S08_RenunciationSuspensionAllowances][2][NumberOfInstallations]",Submission!$O:$O,Submission!$H:$N,""))</f>
        <v/>
      </c>
      <c r="H34" s="475"/>
      <c r="I34" s="476"/>
    </row>
    <row r="35" spans="1:9" ht="27" customHeight="1" x14ac:dyDescent="0.3">
      <c r="C35" s="314" t="s">
        <v>1157</v>
      </c>
      <c r="D35" s="333"/>
      <c r="E35" s="333"/>
      <c r="F35" s="334"/>
      <c r="G35" s="474" t="str">
        <f>_xlfn.CONCAT(_xlfn.XLOOKUP("[S08_RenunciationSuspensionAllowances][3][NumberOfInstallations]",Submission!$O:$O,Submission!$H:$N,""))</f>
        <v/>
      </c>
      <c r="H35" s="475"/>
      <c r="I35" s="476"/>
    </row>
    <row r="37" spans="1:9" ht="33.6" customHeight="1" x14ac:dyDescent="0.3">
      <c r="A37" s="12" t="s">
        <v>472</v>
      </c>
      <c r="B37" s="338" t="s">
        <v>1158</v>
      </c>
      <c r="C37" s="308"/>
      <c r="D37" s="308"/>
      <c r="E37" s="308"/>
      <c r="F37" s="308"/>
      <c r="G37" s="308"/>
      <c r="H37" s="345"/>
      <c r="I37" s="41" t="str">
        <f>_xlfn.CONCAT(_xlfn.XLOOKUP("[SubInstallationBenchmark61][0][SubInstallationBenchmark61]",Submission!$O:$O,Submission!$H:$N,""))</f>
        <v>Yes</v>
      </c>
    </row>
    <row r="38" spans="1:9" x14ac:dyDescent="0.3">
      <c r="B38" s="467" t="s">
        <v>1159</v>
      </c>
      <c r="C38" s="467"/>
      <c r="D38" s="467"/>
      <c r="E38" s="467"/>
      <c r="F38" s="467"/>
      <c r="G38" s="467"/>
      <c r="H38" s="467"/>
      <c r="I38" s="467"/>
    </row>
    <row r="39" spans="1:9" x14ac:dyDescent="0.3">
      <c r="C39" s="501" t="s">
        <v>1160</v>
      </c>
      <c r="D39" s="502"/>
      <c r="E39" s="502"/>
      <c r="F39" s="503"/>
      <c r="G39" s="501" t="s">
        <v>1161</v>
      </c>
      <c r="H39" s="502"/>
      <c r="I39" s="503"/>
    </row>
    <row r="40" spans="1:9" x14ac:dyDescent="0.3">
      <c r="C40" s="471" t="str">
        <f>_xlfn.CONCAT(_xlfn.XLOOKUP("[S08_SubInstallationBenchmark61Detail][1][FuelBenchmark]",Submission!$O:$O,Submission!$H:$N,""))</f>
        <v>0</v>
      </c>
      <c r="D40" s="472"/>
      <c r="E40" s="472"/>
      <c r="F40" s="473"/>
      <c r="G40" s="471" t="str">
        <f>_xlfn.CONCAT(_xlfn.XLOOKUP("[S08_SubInstallationBenchmark61Detail][1][HeatBenchmark]",Submission!$O:$O,Submission!$H:$N,""))</f>
        <v>1</v>
      </c>
      <c r="H40" s="472"/>
      <c r="I40" s="473"/>
    </row>
    <row r="42" spans="1:9" ht="30.6" customHeight="1" x14ac:dyDescent="0.3">
      <c r="B42" s="338" t="s">
        <v>1162</v>
      </c>
      <c r="C42" s="308"/>
      <c r="D42" s="308"/>
      <c r="E42" s="308"/>
      <c r="F42" s="308"/>
      <c r="G42" s="308"/>
      <c r="H42" s="345"/>
      <c r="I42" s="41" t="str">
        <f>_xlfn.CONCAT(_xlfn.XLOOKUP("[SubInstallationBenchmark61Reject][0][SubInstallationBenchmark61Reject]",Submission!$O:$O,Submission!$H:$N,""))</f>
        <v>Yes</v>
      </c>
    </row>
    <row r="43" spans="1:9" x14ac:dyDescent="0.3">
      <c r="B43" s="467" t="s">
        <v>1163</v>
      </c>
      <c r="C43" s="467"/>
      <c r="D43" s="467"/>
      <c r="E43" s="467"/>
      <c r="F43" s="467"/>
      <c r="G43" s="467"/>
      <c r="H43" s="467"/>
      <c r="I43" s="467"/>
    </row>
    <row r="44" spans="1:9" x14ac:dyDescent="0.3">
      <c r="C44" s="435" t="s">
        <v>1160</v>
      </c>
      <c r="D44" s="436"/>
      <c r="E44" s="436"/>
      <c r="F44" s="437"/>
      <c r="G44" s="435" t="s">
        <v>1161</v>
      </c>
      <c r="H44" s="436"/>
      <c r="I44" s="437"/>
    </row>
    <row r="45" spans="1:9" x14ac:dyDescent="0.3">
      <c r="C45" s="471" t="str">
        <f>_xlfn.CONCAT(_xlfn.XLOOKUP("[S08_SubInstallationBenchmark61RejectDetail][1][FuelBenchmark]",Submission!$O:$O,Submission!$H:$N,""))</f>
        <v>1</v>
      </c>
      <c r="D45" s="472"/>
      <c r="E45" s="472"/>
      <c r="F45" s="473"/>
      <c r="G45" s="471" t="str">
        <f>_xlfn.CONCAT(_xlfn.XLOOKUP("[S08_SubInstallationBenchmark61RejectDetail][1][HeatBenchmark]",Submission!$O:$O,Submission!$H:$N,""))</f>
        <v>0</v>
      </c>
      <c r="H45" s="472"/>
      <c r="I45" s="473"/>
    </row>
    <row r="47" spans="1:9" ht="31.2" customHeight="1" x14ac:dyDescent="0.3">
      <c r="B47" s="338" t="s">
        <v>1164</v>
      </c>
      <c r="C47" s="308"/>
      <c r="D47" s="308"/>
      <c r="E47" s="308"/>
      <c r="F47" s="308"/>
      <c r="G47" s="308"/>
      <c r="H47" s="345"/>
      <c r="I47" s="41" t="str">
        <f>_xlfn.CONCAT(_xlfn.XLOOKUP("[SubInstallationBenchmark62][0][SubInstallationBenchmark62]",Submission!$O:$O,Submission!$H:$N,""))</f>
        <v>No</v>
      </c>
    </row>
    <row r="48" spans="1:9" x14ac:dyDescent="0.3">
      <c r="B48" s="467" t="s">
        <v>1159</v>
      </c>
      <c r="C48" s="467"/>
      <c r="D48" s="467"/>
      <c r="E48" s="467"/>
      <c r="F48" s="467"/>
      <c r="G48" s="467"/>
      <c r="H48" s="467"/>
      <c r="I48" s="467"/>
    </row>
    <row r="49" spans="1:9" x14ac:dyDescent="0.3">
      <c r="C49" s="435" t="s">
        <v>1160</v>
      </c>
      <c r="D49" s="436"/>
      <c r="E49" s="436"/>
      <c r="F49" s="437"/>
      <c r="G49" s="435" t="s">
        <v>1161</v>
      </c>
      <c r="H49" s="436"/>
      <c r="I49" s="437"/>
    </row>
    <row r="50" spans="1:9" x14ac:dyDescent="0.3">
      <c r="C50" s="471" t="str">
        <f>_xlfn.CONCAT(_xlfn.XLOOKUP("[S08_SubInstallationBenchmark62Detail][1][FuelBenchmark]",Submission!$O:$O,Submission!$H:$N,""))</f>
        <v/>
      </c>
      <c r="D50" s="472"/>
      <c r="E50" s="472"/>
      <c r="F50" s="473"/>
      <c r="G50" s="471" t="str">
        <f>_xlfn.CONCAT(_xlfn.XLOOKUP("[S08_SubInstallationBenchmark62Detail][1][HeatBenchmark]",Submission!$O:$O,Submission!$H:$N,""))</f>
        <v/>
      </c>
      <c r="H50" s="472"/>
      <c r="I50" s="473"/>
    </row>
    <row r="52" spans="1:9" x14ac:dyDescent="0.3">
      <c r="A52" s="12" t="s">
        <v>478</v>
      </c>
      <c r="B52" s="338" t="s">
        <v>1165</v>
      </c>
      <c r="C52" s="308"/>
      <c r="D52" s="308"/>
      <c r="E52" s="308"/>
      <c r="F52" s="308"/>
      <c r="G52" s="308"/>
      <c r="H52" s="308"/>
      <c r="I52" s="308"/>
    </row>
    <row r="53" spans="1:9" x14ac:dyDescent="0.3">
      <c r="C53" s="269" t="s">
        <v>1166</v>
      </c>
      <c r="D53" s="499"/>
      <c r="E53" s="499"/>
      <c r="F53" s="500"/>
      <c r="G53" s="269" t="s">
        <v>1045</v>
      </c>
      <c r="H53" s="499"/>
      <c r="I53" s="500"/>
    </row>
    <row r="54" spans="1:9" ht="29.4" customHeight="1" x14ac:dyDescent="0.3">
      <c r="C54" s="249" t="s">
        <v>1167</v>
      </c>
      <c r="D54" s="272"/>
      <c r="E54" s="272"/>
      <c r="F54" s="273"/>
      <c r="G54" s="474" t="str">
        <f>_xlfn.CONCAT(_xlfn.XLOOKUP("[S08_ScopeExclusion][1][NumberOfInstallations]",Submission!$O:$O,Submission!$H:$N,""))</f>
        <v>1</v>
      </c>
      <c r="H54" s="475"/>
      <c r="I54" s="476"/>
    </row>
    <row r="55" spans="1:9" ht="29.4" customHeight="1" x14ac:dyDescent="0.3">
      <c r="C55" s="249" t="s">
        <v>1168</v>
      </c>
      <c r="D55" s="272"/>
      <c r="E55" s="272"/>
      <c r="F55" s="273"/>
      <c r="G55" s="474" t="str">
        <f>_xlfn.CONCAT(_xlfn.XLOOKUP("[S08_ScopeExclusion][2][NumberOfInstallations]",Submission!$O:$O,Submission!$H:$N,""))</f>
        <v>7</v>
      </c>
      <c r="H55" s="475"/>
      <c r="I55" s="476"/>
    </row>
    <row r="56" spans="1:9" ht="29.4" customHeight="1" x14ac:dyDescent="0.3">
      <c r="C56" s="249" t="s">
        <v>1169</v>
      </c>
      <c r="D56" s="272"/>
      <c r="E56" s="272"/>
      <c r="F56" s="273"/>
      <c r="G56" s="474" t="str">
        <f>_xlfn.CONCAT(_xlfn.XLOOKUP("[S08_ScopeExclusion][3][NumberOfInstallations]",Submission!$O:$O,Submission!$H:$N,""))</f>
        <v>0</v>
      </c>
      <c r="H56" s="475"/>
      <c r="I56" s="476"/>
    </row>
    <row r="57" spans="1:9" ht="29.4" customHeight="1" x14ac:dyDescent="0.3">
      <c r="C57" s="249" t="s">
        <v>1170</v>
      </c>
      <c r="D57" s="272"/>
      <c r="E57" s="272"/>
      <c r="F57" s="273"/>
      <c r="G57" s="474" t="str">
        <f>_xlfn.CONCAT(_xlfn.XLOOKUP("[S08_ScopeExclusion][4][NumberOfInstallations]",Submission!$O:$O,Submission!$H:$N,""))</f>
        <v>0</v>
      </c>
      <c r="H57" s="475"/>
      <c r="I57" s="476"/>
    </row>
    <row r="58" spans="1:9" ht="29.4" customHeight="1" x14ac:dyDescent="0.3">
      <c r="C58" s="249" t="s">
        <v>1171</v>
      </c>
      <c r="D58" s="272"/>
      <c r="E58" s="272"/>
      <c r="F58" s="273"/>
      <c r="G58" s="474" t="str">
        <f>_xlfn.CONCAT(_xlfn.XLOOKUP("[S08_ScopeExclusion][5][NumberOfInstallations]",Submission!$O:$O,Submission!$H:$N,""))</f>
        <v>0</v>
      </c>
      <c r="H58" s="475"/>
      <c r="I58" s="476"/>
    </row>
    <row r="59" spans="1:9" ht="29.4" customHeight="1" x14ac:dyDescent="0.3">
      <c r="C59" s="249" t="s">
        <v>1172</v>
      </c>
      <c r="D59" s="273"/>
      <c r="E59" s="258" t="str">
        <f>_xlfn.CONCAT(_xlfn.XLOOKUP("[S08_ScopeExclusion][6][OtherReasons]",Submission!$O:$O,Submission!$H:$N,""))</f>
        <v>Merger with another installation</v>
      </c>
      <c r="F59" s="260"/>
      <c r="G59" s="474" t="str">
        <f>_xlfn.CONCAT(_xlfn.XLOOKUP("[S08_ScopeExclusion][6][NumberOfInstallations]",Submission!$O:$O,Submission!$H:$N,""))</f>
        <v>3</v>
      </c>
      <c r="H59" s="475"/>
      <c r="I59" s="476"/>
    </row>
    <row r="60" spans="1:9" ht="29.4" hidden="1" customHeight="1" outlineLevel="1" x14ac:dyDescent="0.3">
      <c r="C60" s="249" t="s">
        <v>1173</v>
      </c>
      <c r="D60" s="273"/>
      <c r="E60" s="255" t="str">
        <f>_xlfn.CONCAT(_xlfn.XLOOKUP("[S08_ScopeExclusion][7][OtherReasons]",Submission!$O:$O,Submission!$H:$N,""))</f>
        <v>Article 27a (temporary derrogation; permit not cancelled, unless other conditions satisfied)</v>
      </c>
      <c r="F60" s="256"/>
      <c r="G60" s="507" t="str">
        <f>_xlfn.CONCAT(_xlfn.XLOOKUP("[S08_ScopeExclusion][7][NumberOfInstallations]",Submission!$O:$O,Submission!$H:$N,""))</f>
        <v>13</v>
      </c>
      <c r="H60" s="508"/>
      <c r="I60" s="509"/>
    </row>
    <row r="61" spans="1:9" ht="29.4" hidden="1" customHeight="1" outlineLevel="1" x14ac:dyDescent="0.3">
      <c r="C61" s="249" t="s">
        <v>1174</v>
      </c>
      <c r="D61" s="273"/>
      <c r="E61" s="255" t="str">
        <f>_xlfn.CONCAT(_xlfn.XLOOKUP("[S08_ScopeExclusion][8][OtherReasons]",Submission!$O:$O,Submission!$H:$N,""))</f>
        <v/>
      </c>
      <c r="F61" s="256"/>
      <c r="G61" s="507" t="str">
        <f>_xlfn.CONCAT(_xlfn.XLOOKUP("[S08_ScopeExclusion][8][NumberOfInstallations]",Submission!$O:$O,Submission!$H:$N,""))</f>
        <v/>
      </c>
      <c r="H61" s="508"/>
      <c r="I61" s="509"/>
    </row>
    <row r="62" spans="1:9" ht="29.4" hidden="1" customHeight="1" outlineLevel="1" x14ac:dyDescent="0.3">
      <c r="C62" s="249" t="s">
        <v>1175</v>
      </c>
      <c r="D62" s="273"/>
      <c r="E62" s="255" t="str">
        <f>_xlfn.CONCAT(_xlfn.XLOOKUP("[S08_ScopeExclusion][9][OtherReasons]",Submission!$O:$O,Submission!$H:$N,""))</f>
        <v/>
      </c>
      <c r="F62" s="256"/>
      <c r="G62" s="507" t="str">
        <f>_xlfn.CONCAT(_xlfn.XLOOKUP("[S08_ScopeExclusion][9][NumberOfInstallations]",Submission!$O:$O,Submission!$H:$N,""))</f>
        <v/>
      </c>
      <c r="H62" s="508"/>
      <c r="I62" s="509"/>
    </row>
    <row r="63" spans="1:9" collapsed="1" x14ac:dyDescent="0.3">
      <c r="B63" s="26" t="s">
        <v>1000</v>
      </c>
    </row>
    <row r="65" spans="1:9" ht="15.6" customHeight="1" x14ac:dyDescent="0.3">
      <c r="A65" s="12" t="s">
        <v>481</v>
      </c>
      <c r="B65" s="338" t="s">
        <v>1176</v>
      </c>
      <c r="C65" s="308"/>
      <c r="D65" s="308"/>
      <c r="E65" s="308"/>
      <c r="F65" s="308"/>
      <c r="G65" s="308"/>
      <c r="H65" s="345"/>
      <c r="I65" s="41" t="str">
        <f>_xlfn.CONCAT(_xlfn.XLOOKUP("[Article10cApplied][0][Article10cApplied]",Submission!$O:$O,Submission!$H:$N,""))</f>
        <v>No</v>
      </c>
    </row>
    <row r="66" spans="1:9" x14ac:dyDescent="0.3">
      <c r="B66" s="467" t="s">
        <v>1177</v>
      </c>
      <c r="C66" s="467"/>
      <c r="D66" s="467"/>
      <c r="E66" s="467"/>
      <c r="F66" s="467"/>
      <c r="G66" s="467"/>
      <c r="H66" s="467"/>
      <c r="I66" s="467"/>
    </row>
    <row r="67" spans="1:9" x14ac:dyDescent="0.3">
      <c r="C67" s="504"/>
      <c r="D67" s="505"/>
      <c r="E67" s="505"/>
      <c r="F67" s="506"/>
      <c r="G67" s="435" t="s">
        <v>1178</v>
      </c>
      <c r="H67" s="436"/>
      <c r="I67" s="437"/>
    </row>
    <row r="68" spans="1:9" x14ac:dyDescent="0.3">
      <c r="C68" s="266" t="s">
        <v>1179</v>
      </c>
      <c r="D68" s="267"/>
      <c r="E68" s="267"/>
      <c r="F68" s="268"/>
      <c r="G68" s="471" t="str">
        <f>_xlfn.CONCAT(_xlfn.XLOOKUP("[S08_Article10cAppliedDetail][1][NumberOfAllowances]",Submission!$O:$O,Submission!$H:$N,""))</f>
        <v/>
      </c>
      <c r="H68" s="472"/>
      <c r="I68" s="473"/>
    </row>
    <row r="69" spans="1:9" x14ac:dyDescent="0.3">
      <c r="C69" s="266" t="s">
        <v>2206</v>
      </c>
      <c r="D69" s="267"/>
      <c r="E69" s="267"/>
      <c r="F69" s="268"/>
      <c r="G69" s="471" t="str">
        <f>_xlfn.CONCAT(_xlfn.XLOOKUP("[S08_Article10cAppliedDetail][2][NumberOfAllowances]",Submission!$O:$O,Submission!$H:$N,""))</f>
        <v/>
      </c>
      <c r="H69" s="472"/>
      <c r="I69" s="473"/>
    </row>
    <row r="71" spans="1:9" s="7" customFormat="1" ht="18.899999999999999" customHeight="1" x14ac:dyDescent="0.35">
      <c r="A71" s="85" t="s">
        <v>486</v>
      </c>
      <c r="B71" s="310" t="s">
        <v>1180</v>
      </c>
      <c r="C71" s="310"/>
      <c r="D71" s="310"/>
      <c r="E71" s="310"/>
      <c r="F71" s="310"/>
      <c r="G71" s="310"/>
      <c r="H71" s="310"/>
      <c r="I71" s="311"/>
    </row>
    <row r="72" spans="1:9" ht="13.5" customHeight="1" x14ac:dyDescent="0.3">
      <c r="A72" s="12" t="s">
        <v>488</v>
      </c>
      <c r="B72" s="481" t="s">
        <v>1181</v>
      </c>
      <c r="C72" s="481"/>
      <c r="D72" s="481"/>
      <c r="E72" s="481"/>
      <c r="F72" s="481"/>
      <c r="G72" s="481"/>
      <c r="H72" s="481"/>
      <c r="I72" s="481"/>
    </row>
    <row r="73" spans="1:9" ht="19.95" customHeight="1" x14ac:dyDescent="0.3">
      <c r="A73" s="12"/>
      <c r="B73" s="338" t="s">
        <v>1182</v>
      </c>
      <c r="C73" s="308"/>
      <c r="D73" s="308"/>
      <c r="E73" s="308"/>
      <c r="F73" s="308"/>
      <c r="G73" s="308"/>
      <c r="H73" s="308"/>
      <c r="I73" s="308"/>
    </row>
    <row r="74" spans="1:9" ht="15.9" customHeight="1" x14ac:dyDescent="0.3">
      <c r="C74" s="314" t="s">
        <v>1183</v>
      </c>
      <c r="D74" s="333"/>
      <c r="E74" s="333"/>
      <c r="F74" s="333"/>
      <c r="G74" s="334"/>
      <c r="H74" s="438" t="s">
        <v>76</v>
      </c>
      <c r="I74" s="439"/>
    </row>
    <row r="75" spans="1:9" ht="19.95" customHeight="1" x14ac:dyDescent="0.3">
      <c r="C75" s="249" t="s">
        <v>1184</v>
      </c>
      <c r="D75" s="272"/>
      <c r="E75" s="272"/>
      <c r="F75" s="272"/>
      <c r="G75" s="273"/>
      <c r="H75" s="351" t="str">
        <f>_xlfn.CONCAT(_xlfn.XLOOKUP("[S08_NegativeOpinionBaselineData][1][NumberOfInstallations]",Submission!$O:$O,Submission!$H:$N,""))</f>
        <v>0</v>
      </c>
      <c r="I75" s="361"/>
    </row>
    <row r="76" spans="1:9" ht="19.95" customHeight="1" x14ac:dyDescent="0.3">
      <c r="C76" s="249" t="s">
        <v>1185</v>
      </c>
      <c r="D76" s="272"/>
      <c r="E76" s="272"/>
      <c r="F76" s="272"/>
      <c r="G76" s="273"/>
      <c r="H76" s="351" t="str">
        <f>_xlfn.CONCAT(_xlfn.XLOOKUP("[S08_NegativeOpinionBaselineData][2][NumberOfInstallations]",Submission!$O:$O,Submission!$H:$N,""))</f>
        <v>0</v>
      </c>
      <c r="I76" s="361"/>
    </row>
    <row r="77" spans="1:9" ht="19.95" customHeight="1" x14ac:dyDescent="0.3">
      <c r="C77" s="249" t="s">
        <v>1186</v>
      </c>
      <c r="D77" s="272"/>
      <c r="E77" s="272"/>
      <c r="F77" s="272"/>
      <c r="G77" s="273"/>
      <c r="H77" s="351" t="str">
        <f>_xlfn.CONCAT(_xlfn.XLOOKUP("[S08_NegativeOpinionBaselineData][3][NumberOfInstallations]",Submission!$O:$O,Submission!$H:$N,""))</f>
        <v>0</v>
      </c>
      <c r="I77" s="361"/>
    </row>
    <row r="78" spans="1:9" x14ac:dyDescent="0.3">
      <c r="B78" s="16"/>
      <c r="C78" s="19"/>
      <c r="D78" s="20"/>
      <c r="E78" s="20"/>
      <c r="F78" s="20"/>
      <c r="G78" s="20"/>
      <c r="H78" s="20"/>
      <c r="I78" s="20"/>
    </row>
    <row r="79" spans="1:9" ht="13.5" customHeight="1" x14ac:dyDescent="0.3">
      <c r="A79" s="12" t="s">
        <v>493</v>
      </c>
      <c r="B79" s="481" t="s">
        <v>1187</v>
      </c>
      <c r="C79" s="481"/>
      <c r="D79" s="481"/>
      <c r="E79" s="481"/>
      <c r="F79" s="481"/>
      <c r="G79" s="481"/>
      <c r="H79" s="481"/>
      <c r="I79" s="481"/>
    </row>
    <row r="80" spans="1:9" ht="33.6" customHeight="1" x14ac:dyDescent="0.3">
      <c r="A80" s="12"/>
      <c r="B80" s="338" t="s">
        <v>1188</v>
      </c>
      <c r="C80" s="308"/>
      <c r="D80" s="308"/>
      <c r="E80" s="308"/>
      <c r="F80" s="308"/>
      <c r="G80" s="308"/>
      <c r="H80" s="345"/>
      <c r="I80" s="41" t="str">
        <f>_xlfn.CONCAT(_xlfn.XLOOKUP("[BaselineDataIssues][0][BaselineDataIssues]",Submission!$O:$O,Submission!$H:$N,""))</f>
        <v>No</v>
      </c>
    </row>
    <row r="81" spans="2:9" x14ac:dyDescent="0.3">
      <c r="B81" s="467" t="s">
        <v>1043</v>
      </c>
      <c r="C81" s="467"/>
      <c r="D81" s="467"/>
      <c r="E81" s="467"/>
      <c r="F81" s="467"/>
      <c r="G81" s="467"/>
      <c r="H81" s="467"/>
      <c r="I81" s="467"/>
    </row>
    <row r="82" spans="2:9" ht="96.6" customHeight="1" x14ac:dyDescent="0.3">
      <c r="C82" s="435" t="s">
        <v>879</v>
      </c>
      <c r="D82" s="437"/>
      <c r="E82" s="43" t="s">
        <v>1044</v>
      </c>
      <c r="F82" s="43" t="s">
        <v>1045</v>
      </c>
      <c r="G82" s="43" t="s">
        <v>1046</v>
      </c>
      <c r="H82" s="314" t="s">
        <v>1189</v>
      </c>
      <c r="I82" s="334"/>
    </row>
    <row r="83" spans="2:9" ht="43.95" customHeight="1" x14ac:dyDescent="0.3">
      <c r="C83" s="258" t="str">
        <f>_xlfn.CONCAT(_xlfn.XLOOKUP("[S08_BaselineDataIssuesDetail][1][AnnexIActivity]",Submission!$O:$O,Submission!$H:$N,""))</f>
        <v/>
      </c>
      <c r="D83" s="260"/>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61" t="str">
        <f>_xlfn.CONCAT(_xlfn.XLOOKUP("[S08_BaselineDataIssuesDetail][1][NumberOfInstallationsArt152]",Submission!$O:$O,Submission!$H:$N,""))</f>
        <v/>
      </c>
      <c r="I83" s="462"/>
    </row>
    <row r="84" spans="2:9" ht="43.95" customHeight="1" x14ac:dyDescent="0.3">
      <c r="C84" s="258" t="str">
        <f>_xlfn.CONCAT(_xlfn.XLOOKUP("[S08_BaselineDataIssuesDetail][2][AnnexIActivity]",Submission!$O:$O,Submission!$H:$N,""))</f>
        <v/>
      </c>
      <c r="D84" s="260"/>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61" t="str">
        <f>_xlfn.CONCAT(_xlfn.XLOOKUP("[S08_BaselineDataIssuesDetail][2][NumberOfInstallationsArt152]",Submission!$O:$O,Submission!$H:$N,""))</f>
        <v/>
      </c>
      <c r="I84" s="462"/>
    </row>
    <row r="85" spans="2:9" ht="43.95" customHeight="1" x14ac:dyDescent="0.3">
      <c r="C85" s="258" t="str">
        <f>_xlfn.CONCAT(_xlfn.XLOOKUP("[S08_BaselineDataIssuesDetail][3][AnnexIActivity]",Submission!$O:$O,Submission!$H:$N,""))</f>
        <v/>
      </c>
      <c r="D85" s="260"/>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61" t="str">
        <f>_xlfn.CONCAT(_xlfn.XLOOKUP("[S08_BaselineDataIssuesDetail][3][NumberOfInstallationsArt152]",Submission!$O:$O,Submission!$H:$N,""))</f>
        <v/>
      </c>
      <c r="I85" s="462"/>
    </row>
    <row r="86" spans="2:9" ht="43.95" customHeight="1" x14ac:dyDescent="0.3">
      <c r="C86" s="258" t="str">
        <f>_xlfn.CONCAT(_xlfn.XLOOKUP("[S08_BaselineDataIssuesDetail][4][AnnexIActivity]",Submission!$O:$O,Submission!$H:$N,""))</f>
        <v/>
      </c>
      <c r="D86" s="260"/>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61" t="str">
        <f>_xlfn.CONCAT(_xlfn.XLOOKUP("[S08_BaselineDataIssuesDetail][4][NumberOfInstallationsArt152]",Submission!$O:$O,Submission!$H:$N,""))</f>
        <v/>
      </c>
      <c r="I86" s="462"/>
    </row>
    <row r="87" spans="2:9" ht="43.95" customHeight="1" x14ac:dyDescent="0.3">
      <c r="C87" s="258" t="str">
        <f>_xlfn.CONCAT(_xlfn.XLOOKUP("[S08_BaselineDataIssuesDetail][5][AnnexIActivity]",Submission!$O:$O,Submission!$H:$N,""))</f>
        <v/>
      </c>
      <c r="D87" s="260"/>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61" t="str">
        <f>_xlfn.CONCAT(_xlfn.XLOOKUP("[S08_BaselineDataIssuesDetail][5][NumberOfInstallationsArt152]",Submission!$O:$O,Submission!$H:$N,""))</f>
        <v/>
      </c>
      <c r="I87" s="462"/>
    </row>
    <row r="88" spans="2:9" ht="43.95" customHeight="1" x14ac:dyDescent="0.3">
      <c r="C88" s="258" t="str">
        <f>_xlfn.CONCAT(_xlfn.XLOOKUP("[S08_BaselineDataIssuesDetail][6][AnnexIActivity]",Submission!$O:$O,Submission!$H:$N,""))</f>
        <v/>
      </c>
      <c r="D88" s="260"/>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61" t="str">
        <f>_xlfn.CONCAT(_xlfn.XLOOKUP("[S08_BaselineDataIssuesDetail][6][NumberOfInstallationsArt152]",Submission!$O:$O,Submission!$H:$N,""))</f>
        <v/>
      </c>
      <c r="I88" s="462"/>
    </row>
    <row r="89" spans="2:9" ht="43.95" customHeight="1" x14ac:dyDescent="0.3">
      <c r="C89" s="258" t="str">
        <f>_xlfn.CONCAT(_xlfn.XLOOKUP("[S08_BaselineDataIssuesDetail][7][AnnexIActivity]",Submission!$O:$O,Submission!$H:$N,""))</f>
        <v/>
      </c>
      <c r="D89" s="260"/>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61" t="str">
        <f>_xlfn.CONCAT(_xlfn.XLOOKUP("[S08_BaselineDataIssuesDetail][7][NumberOfInstallationsArt152]",Submission!$O:$O,Submission!$H:$N,""))</f>
        <v/>
      </c>
      <c r="I89" s="462"/>
    </row>
    <row r="90" spans="2:9" ht="43.95" customHeight="1" x14ac:dyDescent="0.3">
      <c r="C90" s="258" t="str">
        <f>_xlfn.CONCAT(_xlfn.XLOOKUP("[S08_BaselineDataIssuesDetail][8][AnnexIActivity]",Submission!$O:$O,Submission!$H:$N,""))</f>
        <v/>
      </c>
      <c r="D90" s="260"/>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1" t="str">
        <f>_xlfn.CONCAT(_xlfn.XLOOKUP("[S08_BaselineDataIssuesDetail][8][NumberOfInstallationsArt152]",Submission!$O:$O,Submission!$H:$N,""))</f>
        <v/>
      </c>
      <c r="I90" s="462"/>
    </row>
    <row r="91" spans="2:9" ht="43.95" customHeight="1" x14ac:dyDescent="0.3">
      <c r="C91" s="258" t="str">
        <f>_xlfn.CONCAT(_xlfn.XLOOKUP("[S08_BaselineDataIssuesDetail][9][AnnexIActivity]",Submission!$O:$O,Submission!$H:$N,""))</f>
        <v/>
      </c>
      <c r="D91" s="260"/>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1" t="str">
        <f>_xlfn.CONCAT(_xlfn.XLOOKUP("[S08_BaselineDataIssuesDetail][9][NumberOfInstallationsArt152]",Submission!$O:$O,Submission!$H:$N,""))</f>
        <v/>
      </c>
      <c r="I91" s="462"/>
    </row>
    <row r="92" spans="2:9" ht="43.95" customHeight="1" x14ac:dyDescent="0.3">
      <c r="C92" s="258" t="str">
        <f>_xlfn.CONCAT(_xlfn.XLOOKUP("[S08_BaselineDataIssuesDetail][10][AnnexIActivity]",Submission!$O:$O,Submission!$H:$N,""))</f>
        <v/>
      </c>
      <c r="D92" s="260"/>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1" t="str">
        <f>_xlfn.CONCAT(_xlfn.XLOOKUP("[S08_BaselineDataIssuesDetail][10][NumberOfInstallationsArt152]",Submission!$O:$O,Submission!$H:$N,""))</f>
        <v/>
      </c>
      <c r="I92" s="462"/>
    </row>
    <row r="93" spans="2:9" ht="43.95" customHeight="1" x14ac:dyDescent="0.3">
      <c r="C93" s="258" t="str">
        <f>_xlfn.CONCAT(_xlfn.XLOOKUP("[S08_BaselineDataIssuesDetail][11][AnnexIActivity]",Submission!$O:$O,Submission!$H:$N,""))</f>
        <v/>
      </c>
      <c r="D93" s="260"/>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1" t="str">
        <f>_xlfn.CONCAT(_xlfn.XLOOKUP("[S08_BaselineDataIssuesDetail][11][NumberOfInstallationsArt152]",Submission!$O:$O,Submission!$H:$N,""))</f>
        <v/>
      </c>
      <c r="I93" s="462"/>
    </row>
    <row r="94" spans="2:9" ht="43.95" customHeight="1" x14ac:dyDescent="0.3">
      <c r="C94" s="258" t="str">
        <f>_xlfn.CONCAT(_xlfn.XLOOKUP("[S08_BaselineDataIssuesDetail][12][AnnexIActivity]",Submission!$O:$O,Submission!$H:$N,""))</f>
        <v/>
      </c>
      <c r="D94" s="260"/>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1" t="str">
        <f>_xlfn.CONCAT(_xlfn.XLOOKUP("[S08_BaselineDataIssuesDetail][12][NumberOfInstallationsArt152]",Submission!$O:$O,Submission!$H:$N,""))</f>
        <v/>
      </c>
      <c r="I94" s="462"/>
    </row>
    <row r="95" spans="2:9" ht="43.95" customHeight="1" x14ac:dyDescent="0.3">
      <c r="C95" s="258" t="str">
        <f>_xlfn.CONCAT(_xlfn.XLOOKUP("[S08_BaselineDataIssuesDetail][13][AnnexIActivity]",Submission!$O:$O,Submission!$H:$N,""))</f>
        <v/>
      </c>
      <c r="D95" s="260"/>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1" t="str">
        <f>_xlfn.CONCAT(_xlfn.XLOOKUP("[S08_BaselineDataIssuesDetail][13][NumberOfInstallationsArt152]",Submission!$O:$O,Submission!$H:$N,""))</f>
        <v/>
      </c>
      <c r="I95" s="462"/>
    </row>
    <row r="96" spans="2:9" ht="43.95" customHeight="1" x14ac:dyDescent="0.3">
      <c r="C96" s="258" t="str">
        <f>_xlfn.CONCAT(_xlfn.XLOOKUP("[S08_BaselineDataIssuesDetail][14][AnnexIActivity]",Submission!$O:$O,Submission!$H:$N,""))</f>
        <v/>
      </c>
      <c r="D96" s="260"/>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1" t="str">
        <f>_xlfn.CONCAT(_xlfn.XLOOKUP("[S08_BaselineDataIssuesDetail][14][NumberOfInstallationsArt152]",Submission!$O:$O,Submission!$H:$N,""))</f>
        <v/>
      </c>
      <c r="I96" s="462"/>
    </row>
    <row r="97" spans="3:9" ht="43.95" customHeight="1" x14ac:dyDescent="0.3">
      <c r="C97" s="258" t="str">
        <f>_xlfn.CONCAT(_xlfn.XLOOKUP("[S08_BaselineDataIssuesDetail][15][AnnexIActivity]",Submission!$O:$O,Submission!$H:$N,""))</f>
        <v/>
      </c>
      <c r="D97" s="260"/>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1" t="str">
        <f>_xlfn.CONCAT(_xlfn.XLOOKUP("[S08_BaselineDataIssuesDetail][15][NumberOfInstallationsArt152]",Submission!$O:$O,Submission!$H:$N,""))</f>
        <v/>
      </c>
      <c r="I97" s="462"/>
    </row>
    <row r="98" spans="3:9" ht="43.95" hidden="1" customHeight="1" outlineLevel="1" x14ac:dyDescent="0.3">
      <c r="C98" s="258" t="str">
        <f>_xlfn.CONCAT(_xlfn.XLOOKUP("[S08_BaselineDataIssuesDetail][16][AnnexIActivity]",Submission!$O:$O,Submission!$H:$N,""))</f>
        <v/>
      </c>
      <c r="D98" s="260"/>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1" t="str">
        <f>_xlfn.CONCAT(_xlfn.XLOOKUP("[S08_BaselineDataIssuesDetail][16][NumberOfInstallationsArt152]",Submission!$O:$O,Submission!$H:$N,""))</f>
        <v/>
      </c>
      <c r="I98" s="462"/>
    </row>
    <row r="99" spans="3:9" ht="43.95" hidden="1" customHeight="1" outlineLevel="1" x14ac:dyDescent="0.3">
      <c r="C99" s="258" t="str">
        <f>_xlfn.CONCAT(_xlfn.XLOOKUP("[S08_BaselineDataIssuesDetail][17][AnnexIActivity]",Submission!$O:$O,Submission!$H:$N,""))</f>
        <v/>
      </c>
      <c r="D99" s="260"/>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1" t="str">
        <f>_xlfn.CONCAT(_xlfn.XLOOKUP("[S08_BaselineDataIssuesDetail][17][NumberOfInstallationsArt152]",Submission!$O:$O,Submission!$H:$N,""))</f>
        <v/>
      </c>
      <c r="I99" s="462"/>
    </row>
    <row r="100" spans="3:9" ht="43.95" hidden="1" customHeight="1" outlineLevel="1" x14ac:dyDescent="0.3">
      <c r="C100" s="258" t="str">
        <f>_xlfn.CONCAT(_xlfn.XLOOKUP("[S08_BaselineDataIssuesDetail][18][AnnexIActivity]",Submission!$O:$O,Submission!$H:$N,""))</f>
        <v/>
      </c>
      <c r="D100" s="260"/>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1" t="str">
        <f>_xlfn.CONCAT(_xlfn.XLOOKUP("[S08_BaselineDataIssuesDetail][18][NumberOfInstallationsArt152]",Submission!$O:$O,Submission!$H:$N,""))</f>
        <v/>
      </c>
      <c r="I100" s="462"/>
    </row>
    <row r="101" spans="3:9" ht="43.95" hidden="1" customHeight="1" outlineLevel="1" x14ac:dyDescent="0.3">
      <c r="C101" s="258" t="str">
        <f>_xlfn.CONCAT(_xlfn.XLOOKUP("[S08_BaselineDataIssuesDetail][19][AnnexIActivity]",Submission!$O:$O,Submission!$H:$N,""))</f>
        <v/>
      </c>
      <c r="D101" s="260"/>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1" t="str">
        <f>_xlfn.CONCAT(_xlfn.XLOOKUP("[S08_BaselineDataIssuesDetail][19][NumberOfInstallationsArt152]",Submission!$O:$O,Submission!$H:$N,""))</f>
        <v/>
      </c>
      <c r="I101" s="462"/>
    </row>
    <row r="102" spans="3:9" ht="43.95" hidden="1" customHeight="1" outlineLevel="1" x14ac:dyDescent="0.3">
      <c r="C102" s="258" t="str">
        <f>_xlfn.CONCAT(_xlfn.XLOOKUP("[S08_BaselineDataIssuesDetail][20][AnnexIActivity]",Submission!$O:$O,Submission!$H:$N,""))</f>
        <v/>
      </c>
      <c r="D102" s="260"/>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1" t="str">
        <f>_xlfn.CONCAT(_xlfn.XLOOKUP("[S08_BaselineDataIssuesDetail][20][NumberOfInstallationsArt152]",Submission!$O:$O,Submission!$H:$N,""))</f>
        <v/>
      </c>
      <c r="I102" s="462"/>
    </row>
    <row r="103" spans="3:9" ht="43.95" hidden="1" customHeight="1" outlineLevel="1" x14ac:dyDescent="0.3">
      <c r="C103" s="258" t="str">
        <f>_xlfn.CONCAT(_xlfn.XLOOKUP("[S08_BaselineDataIssuesDetail][21][AnnexIActivity]",Submission!$O:$O,Submission!$H:$N,""))</f>
        <v/>
      </c>
      <c r="D103" s="260"/>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1" t="str">
        <f>_xlfn.CONCAT(_xlfn.XLOOKUP("[S08_BaselineDataIssuesDetail][21][NumberOfInstallationsArt152]",Submission!$O:$O,Submission!$H:$N,""))</f>
        <v/>
      </c>
      <c r="I103" s="462"/>
    </row>
    <row r="104" spans="3:9" ht="43.95" hidden="1" customHeight="1" outlineLevel="1" x14ac:dyDescent="0.3">
      <c r="C104" s="258" t="str">
        <f>_xlfn.CONCAT(_xlfn.XLOOKUP("[S08_BaselineDataIssuesDetail][22][AnnexIActivity]",Submission!$O:$O,Submission!$H:$N,""))</f>
        <v/>
      </c>
      <c r="D104" s="260"/>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1" t="str">
        <f>_xlfn.CONCAT(_xlfn.XLOOKUP("[S08_BaselineDataIssuesDetail][22][NumberOfInstallationsArt152]",Submission!$O:$O,Submission!$H:$N,""))</f>
        <v/>
      </c>
      <c r="I104" s="462"/>
    </row>
    <row r="105" spans="3:9" ht="43.95" hidden="1" customHeight="1" outlineLevel="1" x14ac:dyDescent="0.3">
      <c r="C105" s="258" t="str">
        <f>_xlfn.CONCAT(_xlfn.XLOOKUP("[S08_BaselineDataIssuesDetail][23][AnnexIActivity]",Submission!$O:$O,Submission!$H:$N,""))</f>
        <v/>
      </c>
      <c r="D105" s="260"/>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1" t="str">
        <f>_xlfn.CONCAT(_xlfn.XLOOKUP("[S08_BaselineDataIssuesDetail][23][NumberOfInstallationsArt152]",Submission!$O:$O,Submission!$H:$N,""))</f>
        <v/>
      </c>
      <c r="I105" s="462"/>
    </row>
    <row r="106" spans="3:9" ht="43.95" hidden="1" customHeight="1" outlineLevel="1" x14ac:dyDescent="0.3">
      <c r="C106" s="258" t="str">
        <f>_xlfn.CONCAT(_xlfn.XLOOKUP("[S08_BaselineDataIssuesDetail][24][AnnexIActivity]",Submission!$O:$O,Submission!$H:$N,""))</f>
        <v/>
      </c>
      <c r="D106" s="260"/>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1" t="str">
        <f>_xlfn.CONCAT(_xlfn.XLOOKUP("[S08_BaselineDataIssuesDetail][24][NumberOfInstallationsArt152]",Submission!$O:$O,Submission!$H:$N,""))</f>
        <v/>
      </c>
      <c r="I106" s="462"/>
    </row>
    <row r="107" spans="3:9" ht="43.95" hidden="1" customHeight="1" outlineLevel="1" x14ac:dyDescent="0.3">
      <c r="C107" s="258" t="str">
        <f>_xlfn.CONCAT(_xlfn.XLOOKUP("[S08_BaselineDataIssuesDetail][25][AnnexIActivity]",Submission!$O:$O,Submission!$H:$N,""))</f>
        <v/>
      </c>
      <c r="D107" s="260"/>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1" t="str">
        <f>_xlfn.CONCAT(_xlfn.XLOOKUP("[S08_BaselineDataIssuesDetail][25][NumberOfInstallationsArt152]",Submission!$O:$O,Submission!$H:$N,""))</f>
        <v/>
      </c>
      <c r="I107" s="462"/>
    </row>
    <row r="108" spans="3:9" ht="43.95" hidden="1" customHeight="1" outlineLevel="1" x14ac:dyDescent="0.3">
      <c r="C108" s="258" t="str">
        <f>_xlfn.CONCAT(_xlfn.XLOOKUP("[S08_BaselineDataIssuesDetail][26][AnnexIActivity]",Submission!$O:$O,Submission!$H:$N,""))</f>
        <v/>
      </c>
      <c r="D108" s="260"/>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1" t="str">
        <f>_xlfn.CONCAT(_xlfn.XLOOKUP("[S08_BaselineDataIssuesDetail][26][NumberOfInstallationsArt152]",Submission!$O:$O,Submission!$H:$N,""))</f>
        <v/>
      </c>
      <c r="I108" s="462"/>
    </row>
    <row r="109" spans="3:9" ht="43.95" hidden="1" customHeight="1" outlineLevel="1" x14ac:dyDescent="0.3">
      <c r="C109" s="258" t="str">
        <f>_xlfn.CONCAT(_xlfn.XLOOKUP("[S08_BaselineDataIssuesDetail][27][AnnexIActivity]",Submission!$O:$O,Submission!$H:$N,""))</f>
        <v/>
      </c>
      <c r="D109" s="260"/>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1" t="str">
        <f>_xlfn.CONCAT(_xlfn.XLOOKUP("[S08_BaselineDataIssuesDetail][27][NumberOfInstallationsArt152]",Submission!$O:$O,Submission!$H:$N,""))</f>
        <v/>
      </c>
      <c r="I109" s="462"/>
    </row>
    <row r="110" spans="3:9" ht="43.95" hidden="1" customHeight="1" outlineLevel="1" x14ac:dyDescent="0.3">
      <c r="C110" s="258" t="str">
        <f>_xlfn.CONCAT(_xlfn.XLOOKUP("[S08_BaselineDataIssuesDetail][28][AnnexIActivity]",Submission!$O:$O,Submission!$H:$N,""))</f>
        <v/>
      </c>
      <c r="D110" s="260"/>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1" t="str">
        <f>_xlfn.CONCAT(_xlfn.XLOOKUP("[S08_BaselineDataIssuesDetail][28][NumberOfInstallationsArt152]",Submission!$O:$O,Submission!$H:$N,""))</f>
        <v/>
      </c>
      <c r="I110" s="462"/>
    </row>
    <row r="111" spans="3:9" ht="43.95" hidden="1" customHeight="1" outlineLevel="1" x14ac:dyDescent="0.3">
      <c r="C111" s="258" t="str">
        <f>_xlfn.CONCAT(_xlfn.XLOOKUP("[S08_BaselineDataIssuesDetail][29][AnnexIActivity]",Submission!$O:$O,Submission!$H:$N,""))</f>
        <v/>
      </c>
      <c r="D111" s="260"/>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1" t="str">
        <f>_xlfn.CONCAT(_xlfn.XLOOKUP("[S08_BaselineDataIssuesDetail][29][NumberOfInstallationsArt152]",Submission!$O:$O,Submission!$H:$N,""))</f>
        <v/>
      </c>
      <c r="I111" s="462"/>
    </row>
    <row r="112" spans="3:9" ht="43.95" hidden="1" customHeight="1" outlineLevel="1" x14ac:dyDescent="0.3">
      <c r="C112" s="258" t="str">
        <f>_xlfn.CONCAT(_xlfn.XLOOKUP("[S08_BaselineDataIssuesDetail][30][AnnexIActivity]",Submission!$O:$O,Submission!$H:$N,""))</f>
        <v/>
      </c>
      <c r="D112" s="260"/>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1" t="str">
        <f>_xlfn.CONCAT(_xlfn.XLOOKUP("[S08_BaselineDataIssuesDetail][30][NumberOfInstallationsArt152]",Submission!$O:$O,Submission!$H:$N,""))</f>
        <v/>
      </c>
      <c r="I112" s="462"/>
    </row>
    <row r="113" spans="3:9" ht="43.95" hidden="1" customHeight="1" outlineLevel="1" x14ac:dyDescent="0.3">
      <c r="C113" s="258" t="str">
        <f>_xlfn.CONCAT(_xlfn.XLOOKUP("[S08_BaselineDataIssuesDetail][31][AnnexIActivity]",Submission!$O:$O,Submission!$H:$N,""))</f>
        <v/>
      </c>
      <c r="D113" s="260"/>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1" t="str">
        <f>_xlfn.CONCAT(_xlfn.XLOOKUP("[S08_BaselineDataIssuesDetail][31][NumberOfInstallationsArt152]",Submission!$O:$O,Submission!$H:$N,""))</f>
        <v/>
      </c>
      <c r="I113" s="462"/>
    </row>
    <row r="114" spans="3:9" ht="43.95" hidden="1" customHeight="1" outlineLevel="1" x14ac:dyDescent="0.3">
      <c r="C114" s="258" t="str">
        <f>_xlfn.CONCAT(_xlfn.XLOOKUP("[S08_BaselineDataIssuesDetail][32][AnnexIActivity]",Submission!$O:$O,Submission!$H:$N,""))</f>
        <v/>
      </c>
      <c r="D114" s="260"/>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1" t="str">
        <f>_xlfn.CONCAT(_xlfn.XLOOKUP("[S08_BaselineDataIssuesDetail][32][NumberOfInstallationsArt152]",Submission!$O:$O,Submission!$H:$N,""))</f>
        <v/>
      </c>
      <c r="I114" s="462"/>
    </row>
    <row r="115" spans="3:9" ht="43.95" hidden="1" customHeight="1" outlineLevel="1" x14ac:dyDescent="0.3">
      <c r="C115" s="258" t="str">
        <f>_xlfn.CONCAT(_xlfn.XLOOKUP("[S08_BaselineDataIssuesDetail][33][AnnexIActivity]",Submission!$O:$O,Submission!$H:$N,""))</f>
        <v/>
      </c>
      <c r="D115" s="260"/>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1" t="str">
        <f>_xlfn.CONCAT(_xlfn.XLOOKUP("[S08_BaselineDataIssuesDetail][33][NumberOfInstallationsArt152]",Submission!$O:$O,Submission!$H:$N,""))</f>
        <v/>
      </c>
      <c r="I115" s="462"/>
    </row>
    <row r="116" spans="3:9" ht="43.95" hidden="1" customHeight="1" outlineLevel="1" x14ac:dyDescent="0.3">
      <c r="C116" s="258" t="str">
        <f>_xlfn.CONCAT(_xlfn.XLOOKUP("[S08_BaselineDataIssuesDetail][34][AnnexIActivity]",Submission!$O:$O,Submission!$H:$N,""))</f>
        <v/>
      </c>
      <c r="D116" s="260"/>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1" t="str">
        <f>_xlfn.CONCAT(_xlfn.XLOOKUP("[S08_BaselineDataIssuesDetail][34][NumberOfInstallationsArt152]",Submission!$O:$O,Submission!$H:$N,""))</f>
        <v/>
      </c>
      <c r="I116" s="462"/>
    </row>
    <row r="117" spans="3:9" ht="43.95" hidden="1" customHeight="1" outlineLevel="1" x14ac:dyDescent="0.3">
      <c r="C117" s="258" t="str">
        <f>_xlfn.CONCAT(_xlfn.XLOOKUP("[S08_BaselineDataIssuesDetail][35][AnnexIActivity]",Submission!$O:$O,Submission!$H:$N,""))</f>
        <v/>
      </c>
      <c r="D117" s="260"/>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1" t="str">
        <f>_xlfn.CONCAT(_xlfn.XLOOKUP("[S08_BaselineDataIssuesDetail][35][NumberOfInstallationsArt152]",Submission!$O:$O,Submission!$H:$N,""))</f>
        <v/>
      </c>
      <c r="I117" s="462"/>
    </row>
    <row r="118" spans="3:9" ht="43.95" hidden="1" customHeight="1" outlineLevel="1" x14ac:dyDescent="0.3">
      <c r="C118" s="258" t="str">
        <f>_xlfn.CONCAT(_xlfn.XLOOKUP("[S08_BaselineDataIssuesDetail][36][AnnexIActivity]",Submission!$O:$O,Submission!$H:$N,""))</f>
        <v/>
      </c>
      <c r="D118" s="260"/>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1" t="str">
        <f>_xlfn.CONCAT(_xlfn.XLOOKUP("[S08_BaselineDataIssuesDetail][36][NumberOfInstallationsArt152]",Submission!$O:$O,Submission!$H:$N,""))</f>
        <v/>
      </c>
      <c r="I118" s="462"/>
    </row>
    <row r="119" spans="3:9" ht="43.95" hidden="1" customHeight="1" outlineLevel="1" x14ac:dyDescent="0.3">
      <c r="C119" s="258" t="str">
        <f>_xlfn.CONCAT(_xlfn.XLOOKUP("[S08_BaselineDataIssuesDetail][37][AnnexIActivity]",Submission!$O:$O,Submission!$H:$N,""))</f>
        <v/>
      </c>
      <c r="D119" s="260"/>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1" t="str">
        <f>_xlfn.CONCAT(_xlfn.XLOOKUP("[S08_BaselineDataIssuesDetail][37][NumberOfInstallationsArt152]",Submission!$O:$O,Submission!$H:$N,""))</f>
        <v/>
      </c>
      <c r="I119" s="462"/>
    </row>
    <row r="120" spans="3:9" ht="43.95" hidden="1" customHeight="1" outlineLevel="1" x14ac:dyDescent="0.3">
      <c r="C120" s="258" t="str">
        <f>_xlfn.CONCAT(_xlfn.XLOOKUP("[S08_BaselineDataIssuesDetail][38][AnnexIActivity]",Submission!$O:$O,Submission!$H:$N,""))</f>
        <v/>
      </c>
      <c r="D120" s="260"/>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1" t="str">
        <f>_xlfn.CONCAT(_xlfn.XLOOKUP("[S08_BaselineDataIssuesDetail][38][NumberOfInstallationsArt152]",Submission!$O:$O,Submission!$H:$N,""))</f>
        <v/>
      </c>
      <c r="I120" s="462"/>
    </row>
    <row r="121" spans="3:9" ht="43.95" hidden="1" customHeight="1" outlineLevel="1" x14ac:dyDescent="0.3">
      <c r="C121" s="258" t="str">
        <f>_xlfn.CONCAT(_xlfn.XLOOKUP("[S08_BaselineDataIssuesDetail][39][AnnexIActivity]",Submission!$O:$O,Submission!$H:$N,""))</f>
        <v/>
      </c>
      <c r="D121" s="260"/>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1" t="str">
        <f>_xlfn.CONCAT(_xlfn.XLOOKUP("[S08_BaselineDataIssuesDetail][39][NumberOfInstallationsArt152]",Submission!$O:$O,Submission!$H:$N,""))</f>
        <v/>
      </c>
      <c r="I121" s="462"/>
    </row>
    <row r="122" spans="3:9" ht="43.95" hidden="1" customHeight="1" outlineLevel="1" x14ac:dyDescent="0.3">
      <c r="C122" s="258" t="str">
        <f>_xlfn.CONCAT(_xlfn.XLOOKUP("[S08_BaselineDataIssuesDetail][40][AnnexIActivity]",Submission!$O:$O,Submission!$H:$N,""))</f>
        <v/>
      </c>
      <c r="D122" s="260"/>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1" t="str">
        <f>_xlfn.CONCAT(_xlfn.XLOOKUP("[S08_BaselineDataIssuesDetail][40][NumberOfInstallationsArt152]",Submission!$O:$O,Submission!$H:$N,""))</f>
        <v/>
      </c>
      <c r="I122" s="462"/>
    </row>
    <row r="123" spans="3:9" ht="43.95" hidden="1" customHeight="1" outlineLevel="1" x14ac:dyDescent="0.3">
      <c r="C123" s="258" t="str">
        <f>_xlfn.CONCAT(_xlfn.XLOOKUP("[S08_BaselineDataIssuesDetail][41][AnnexIActivity]",Submission!$O:$O,Submission!$H:$N,""))</f>
        <v/>
      </c>
      <c r="D123" s="260"/>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1" t="str">
        <f>_xlfn.CONCAT(_xlfn.XLOOKUP("[S08_BaselineDataIssuesDetail][41][NumberOfInstallationsArt152]",Submission!$O:$O,Submission!$H:$N,""))</f>
        <v/>
      </c>
      <c r="I123" s="462"/>
    </row>
    <row r="124" spans="3:9" ht="43.95" hidden="1" customHeight="1" outlineLevel="1" x14ac:dyDescent="0.3">
      <c r="C124" s="258" t="str">
        <f>_xlfn.CONCAT(_xlfn.XLOOKUP("[S08_BaselineDataIssuesDetail][42][AnnexIActivity]",Submission!$O:$O,Submission!$H:$N,""))</f>
        <v/>
      </c>
      <c r="D124" s="260"/>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1" t="str">
        <f>_xlfn.CONCAT(_xlfn.XLOOKUP("[S08_BaselineDataIssuesDetail][42][NumberOfInstallationsArt152]",Submission!$O:$O,Submission!$H:$N,""))</f>
        <v/>
      </c>
      <c r="I124" s="462"/>
    </row>
    <row r="125" spans="3:9" ht="43.95" hidden="1" customHeight="1" outlineLevel="1" x14ac:dyDescent="0.3">
      <c r="C125" s="258" t="str">
        <f>_xlfn.CONCAT(_xlfn.XLOOKUP("[S08_BaselineDataIssuesDetail][43][AnnexIActivity]",Submission!$O:$O,Submission!$H:$N,""))</f>
        <v/>
      </c>
      <c r="D125" s="260"/>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1" t="str">
        <f>_xlfn.CONCAT(_xlfn.XLOOKUP("[S08_BaselineDataIssuesDetail][43][NumberOfInstallationsArt152]",Submission!$O:$O,Submission!$H:$N,""))</f>
        <v/>
      </c>
      <c r="I125" s="462"/>
    </row>
    <row r="126" spans="3:9" ht="43.95" hidden="1" customHeight="1" outlineLevel="1" x14ac:dyDescent="0.3">
      <c r="C126" s="258" t="str">
        <f>_xlfn.CONCAT(_xlfn.XLOOKUP("[S08_BaselineDataIssuesDetail][44][AnnexIActivity]",Submission!$O:$O,Submission!$H:$N,""))</f>
        <v/>
      </c>
      <c r="D126" s="260"/>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1" t="str">
        <f>_xlfn.CONCAT(_xlfn.XLOOKUP("[S08_BaselineDataIssuesDetail][44][NumberOfInstallationsArt152]",Submission!$O:$O,Submission!$H:$N,""))</f>
        <v/>
      </c>
      <c r="I126" s="462"/>
    </row>
    <row r="127" spans="3:9" ht="43.95" hidden="1" customHeight="1" outlineLevel="1" x14ac:dyDescent="0.3">
      <c r="C127" s="258" t="str">
        <f>_xlfn.CONCAT(_xlfn.XLOOKUP("[S08_BaselineDataIssuesDetail][45][AnnexIActivity]",Submission!$O:$O,Submission!$H:$N,""))</f>
        <v/>
      </c>
      <c r="D127" s="260"/>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1" t="str">
        <f>_xlfn.CONCAT(_xlfn.XLOOKUP("[S08_BaselineDataIssuesDetail][45][NumberOfInstallationsArt152]",Submission!$O:$O,Submission!$H:$N,""))</f>
        <v/>
      </c>
      <c r="I127" s="462"/>
    </row>
    <row r="128" spans="3:9" ht="43.95" hidden="1" customHeight="1" outlineLevel="1" x14ac:dyDescent="0.3">
      <c r="C128" s="258" t="str">
        <f>_xlfn.CONCAT(_xlfn.XLOOKUP("[S08_BaselineDataIssuesDetail][46][AnnexIActivity]",Submission!$O:$O,Submission!$H:$N,""))</f>
        <v/>
      </c>
      <c r="D128" s="260"/>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1" t="str">
        <f>_xlfn.CONCAT(_xlfn.XLOOKUP("[S08_BaselineDataIssuesDetail][46][NumberOfInstallationsArt152]",Submission!$O:$O,Submission!$H:$N,""))</f>
        <v/>
      </c>
      <c r="I128" s="462"/>
    </row>
    <row r="129" spans="1:9" ht="43.95" hidden="1" customHeight="1" outlineLevel="1" x14ac:dyDescent="0.3">
      <c r="C129" s="258" t="str">
        <f>_xlfn.CONCAT(_xlfn.XLOOKUP("[S08_BaselineDataIssuesDetail][47][AnnexIActivity]",Submission!$O:$O,Submission!$H:$N,""))</f>
        <v/>
      </c>
      <c r="D129" s="260"/>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1" t="str">
        <f>_xlfn.CONCAT(_xlfn.XLOOKUP("[S08_BaselineDataIssuesDetail][47][NumberOfInstallationsArt152]",Submission!$O:$O,Submission!$H:$N,""))</f>
        <v/>
      </c>
      <c r="I129" s="462"/>
    </row>
    <row r="130" spans="1:9" ht="43.95" hidden="1" customHeight="1" outlineLevel="1" x14ac:dyDescent="0.3">
      <c r="C130" s="258" t="str">
        <f>_xlfn.CONCAT(_xlfn.XLOOKUP("[S08_BaselineDataIssuesDetail][48][AnnexIActivity]",Submission!$O:$O,Submission!$H:$N,""))</f>
        <v/>
      </c>
      <c r="D130" s="260"/>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1" t="str">
        <f>_xlfn.CONCAT(_xlfn.XLOOKUP("[S08_BaselineDataIssuesDetail][48][NumberOfInstallationsArt152]",Submission!$O:$O,Submission!$H:$N,""))</f>
        <v/>
      </c>
      <c r="I130" s="462"/>
    </row>
    <row r="131" spans="1:9" ht="43.95" hidden="1" customHeight="1" outlineLevel="1" x14ac:dyDescent="0.3">
      <c r="C131" s="258" t="str">
        <f>_xlfn.CONCAT(_xlfn.XLOOKUP("[S08_BaselineDataIssuesDetail][49][AnnexIActivity]",Submission!$O:$O,Submission!$H:$N,""))</f>
        <v/>
      </c>
      <c r="D131" s="260"/>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1" t="str">
        <f>_xlfn.CONCAT(_xlfn.XLOOKUP("[S08_BaselineDataIssuesDetail][49][NumberOfInstallationsArt152]",Submission!$O:$O,Submission!$H:$N,""))</f>
        <v/>
      </c>
      <c r="I131" s="462"/>
    </row>
    <row r="132" spans="1:9" ht="43.95" hidden="1" customHeight="1" outlineLevel="1" x14ac:dyDescent="0.3">
      <c r="C132" s="258" t="str">
        <f>_xlfn.CONCAT(_xlfn.XLOOKUP("[S08_BaselineDataIssuesDetail][50][AnnexIActivity]",Submission!$O:$O,Submission!$H:$N,""))</f>
        <v/>
      </c>
      <c r="D132" s="260"/>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1" t="str">
        <f>_xlfn.CONCAT(_xlfn.XLOOKUP("[S08_BaselineDataIssuesDetail][50][NumberOfInstallationsArt152]",Submission!$O:$O,Submission!$H:$N,""))</f>
        <v/>
      </c>
      <c r="I132" s="462"/>
    </row>
    <row r="133" spans="1:9" collapsed="1" x14ac:dyDescent="0.3">
      <c r="B133" s="26" t="s">
        <v>1000</v>
      </c>
    </row>
    <row r="134" spans="1:9" ht="27.6" customHeight="1" x14ac:dyDescent="0.3">
      <c r="C134" s="262" t="s">
        <v>1190</v>
      </c>
      <c r="D134" s="262"/>
      <c r="E134" s="262"/>
      <c r="F134" s="262"/>
      <c r="G134" s="262"/>
      <c r="H134" s="262"/>
      <c r="I134" s="262"/>
    </row>
    <row r="136" spans="1:9" s="7" customFormat="1" ht="18.899999999999999" customHeight="1" x14ac:dyDescent="0.35">
      <c r="A136" s="85" t="s">
        <v>497</v>
      </c>
      <c r="B136" s="310" t="s">
        <v>498</v>
      </c>
      <c r="C136" s="310"/>
      <c r="D136" s="310"/>
      <c r="E136" s="310"/>
      <c r="F136" s="310"/>
      <c r="G136" s="310"/>
      <c r="H136" s="310"/>
      <c r="I136" s="311"/>
    </row>
    <row r="137" spans="1:9" s="7" customFormat="1" ht="18.899999999999999" customHeight="1" x14ac:dyDescent="0.3">
      <c r="A137" s="12" t="s">
        <v>500</v>
      </c>
      <c r="B137" s="480" t="s">
        <v>1191</v>
      </c>
      <c r="C137" s="480"/>
      <c r="D137" s="480"/>
      <c r="E137" s="480"/>
      <c r="F137" s="480"/>
      <c r="G137" s="480"/>
      <c r="H137" s="480"/>
      <c r="I137" s="480"/>
    </row>
    <row r="138" spans="1:9" ht="36" customHeight="1" x14ac:dyDescent="0.3">
      <c r="A138" s="12"/>
      <c r="B138" s="338" t="s">
        <v>1192</v>
      </c>
      <c r="C138" s="308"/>
      <c r="D138" s="308"/>
      <c r="E138" s="308"/>
      <c r="F138" s="308"/>
      <c r="G138" s="308"/>
      <c r="H138" s="345"/>
      <c r="I138" s="41" t="str">
        <f>_xlfn.CONCAT(_xlfn.XLOOKUP("[AdditionalParametersRequired][0][AdditionalParametersRequired]",Submission!$O:$O,Submission!$H:$N,""))</f>
        <v>No</v>
      </c>
    </row>
    <row r="139" spans="1:9" ht="16.95" customHeight="1" x14ac:dyDescent="0.3">
      <c r="B139" s="467" t="s">
        <v>1193</v>
      </c>
      <c r="C139" s="467"/>
      <c r="D139" s="467"/>
      <c r="E139" s="467"/>
      <c r="F139" s="467"/>
      <c r="G139" s="467"/>
      <c r="H139" s="467"/>
      <c r="I139" s="467"/>
    </row>
    <row r="140" spans="1:9" x14ac:dyDescent="0.3">
      <c r="C140" s="266" t="s">
        <v>1194</v>
      </c>
      <c r="D140" s="267"/>
      <c r="E140" s="267"/>
      <c r="F140" s="268"/>
      <c r="G140" s="255" t="str">
        <f>_xlfn.CONCAT(_xlfn.XLOOKUP("[AdditionalParametersType][0][AdditionalParametersType]",Submission!$O:$O,Submission!$H:$N,""))</f>
        <v/>
      </c>
      <c r="H140" s="460"/>
      <c r="I140" s="256"/>
    </row>
    <row r="141" spans="1:9" x14ac:dyDescent="0.3">
      <c r="C141" s="21"/>
      <c r="D141" s="21"/>
      <c r="E141" s="21"/>
      <c r="F141" s="21"/>
      <c r="G141" s="21"/>
      <c r="H141" s="21"/>
      <c r="I141" s="21"/>
    </row>
    <row r="142" spans="1:9" x14ac:dyDescent="0.3">
      <c r="A142" s="12" t="s">
        <v>503</v>
      </c>
      <c r="B142" s="481" t="s">
        <v>1132</v>
      </c>
      <c r="C142" s="481"/>
      <c r="D142" s="481"/>
      <c r="E142" s="481"/>
      <c r="F142" s="481"/>
      <c r="G142" s="481"/>
      <c r="H142" s="481"/>
      <c r="I142" s="481"/>
    </row>
    <row r="143" spans="1:9" ht="36" customHeight="1" x14ac:dyDescent="0.3">
      <c r="A143" s="12"/>
      <c r="B143" s="338" t="s">
        <v>1195</v>
      </c>
      <c r="C143" s="308"/>
      <c r="D143" s="308"/>
      <c r="E143" s="308"/>
      <c r="F143" s="308"/>
      <c r="G143" s="308"/>
      <c r="H143" s="345"/>
      <c r="I143" s="41" t="str">
        <f>_xlfn.CONCAT(_xlfn.XLOOKUP("[PreliminaryActivityRequired][0][PreliminaryActivityRequired]",Submission!$O:$O,Submission!$H:$N,""))</f>
        <v>No</v>
      </c>
    </row>
    <row r="144" spans="1:9" ht="16.95" customHeight="1" x14ac:dyDescent="0.3">
      <c r="B144" s="467" t="s">
        <v>1196</v>
      </c>
      <c r="C144" s="467"/>
      <c r="D144" s="467"/>
      <c r="E144" s="467"/>
      <c r="F144" s="467"/>
      <c r="G144" s="467"/>
      <c r="H144" s="467"/>
      <c r="I144" s="467"/>
    </row>
    <row r="145" spans="1:9" x14ac:dyDescent="0.3">
      <c r="C145" s="266" t="s">
        <v>1197</v>
      </c>
      <c r="D145" s="267"/>
      <c r="E145" s="267"/>
      <c r="F145" s="268"/>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338" t="s">
        <v>1198</v>
      </c>
      <c r="C147" s="308"/>
      <c r="D147" s="308"/>
      <c r="E147" s="308"/>
      <c r="F147" s="308"/>
      <c r="G147" s="308"/>
      <c r="H147" s="308"/>
      <c r="I147" s="308"/>
    </row>
    <row r="148" spans="1:9" ht="42.6" customHeight="1" x14ac:dyDescent="0.3">
      <c r="C148" s="435" t="s">
        <v>1183</v>
      </c>
      <c r="D148" s="436"/>
      <c r="E148" s="437"/>
      <c r="F148" s="435" t="s">
        <v>76</v>
      </c>
      <c r="G148" s="437"/>
      <c r="H148" s="314" t="s">
        <v>1199</v>
      </c>
      <c r="I148" s="334"/>
    </row>
    <row r="149" spans="1:9" s="95" customFormat="1" ht="27.75" customHeight="1" x14ac:dyDescent="0.3">
      <c r="A149" s="94"/>
      <c r="C149" s="382" t="s">
        <v>1200</v>
      </c>
      <c r="D149" s="382"/>
      <c r="E149" s="382"/>
      <c r="F149" s="406" t="str">
        <f>_xlfn.CONCAT(_xlfn.XLOOKUP("[S08_NegativeOpinionActivityData][1][NumberOfInstallations]",Submission!$O:$O,Submission!$H:$N,""))</f>
        <v>0</v>
      </c>
      <c r="G149" s="406"/>
      <c r="H149" s="406" t="str">
        <f>_xlfn.CONCAT(_xlfn.XLOOKUP("[S08_NegativeOpinionActivityData][1][NumberOfInstallationsConEst]",Submission!$O:$O,Submission!$H:$N,""))</f>
        <v>0</v>
      </c>
      <c r="I149" s="406"/>
    </row>
    <row r="150" spans="1:9" s="95" customFormat="1" ht="27.75" customHeight="1" x14ac:dyDescent="0.3">
      <c r="A150" s="94"/>
      <c r="C150" s="382" t="s">
        <v>1201</v>
      </c>
      <c r="D150" s="382"/>
      <c r="E150" s="382"/>
      <c r="F150" s="406" t="str">
        <f>_xlfn.CONCAT(_xlfn.XLOOKUP("[S08_NegativeOpinionActivityData][2][NumberOfInstallations]",Submission!$O:$O,Submission!$H:$N,""))</f>
        <v>0</v>
      </c>
      <c r="G150" s="406"/>
      <c r="H150" s="406" t="str">
        <f>_xlfn.CONCAT(_xlfn.XLOOKUP("[S08_NegativeOpinionActivityData][2][NumberOfInstallationsConEst]",Submission!$O:$O,Submission!$H:$N,""))</f>
        <v>0</v>
      </c>
      <c r="I150" s="406"/>
    </row>
    <row r="151" spans="1:9" s="95" customFormat="1" ht="27.75" customHeight="1" x14ac:dyDescent="0.3">
      <c r="A151" s="94"/>
      <c r="C151" s="382" t="s">
        <v>1202</v>
      </c>
      <c r="D151" s="382"/>
      <c r="E151" s="382"/>
      <c r="F151" s="406" t="str">
        <f>_xlfn.CONCAT(_xlfn.XLOOKUP("[S08_NegativeOpinionActivityData][3][NumberOfInstallations]",Submission!$O:$O,Submission!$H:$N,""))</f>
        <v>0</v>
      </c>
      <c r="G151" s="406"/>
      <c r="H151" s="406" t="str">
        <f>_xlfn.CONCAT(_xlfn.XLOOKUP("[S08_NegativeOpinionActivityData][3][NumberOfInstallationsConEst]",Submission!$O:$O,Submission!$H:$N,""))</f>
        <v>0</v>
      </c>
      <c r="I151" s="406"/>
    </row>
    <row r="152" spans="1:9" s="95" customFormat="1" ht="27.75" customHeight="1" x14ac:dyDescent="0.3">
      <c r="A152" s="94"/>
      <c r="C152" s="382" t="s">
        <v>1203</v>
      </c>
      <c r="D152" s="382"/>
      <c r="E152" s="382"/>
      <c r="F152" s="406" t="str">
        <f>_xlfn.CONCAT(_xlfn.XLOOKUP("[S08_NegativeOpinionActivityData][4][NumberOfInstallations]",Submission!$O:$O,Submission!$H:$N,""))</f>
        <v>0</v>
      </c>
      <c r="G152" s="406"/>
      <c r="H152" s="406" t="str">
        <f>_xlfn.CONCAT(_xlfn.XLOOKUP("[S08_NegativeOpinionActivityData][4][NumberOfInstallationsConEst]",Submission!$O:$O,Submission!$H:$N,""))</f>
        <v>0</v>
      </c>
      <c r="I152" s="406"/>
    </row>
    <row r="154" spans="1:9" ht="33.6" customHeight="1" x14ac:dyDescent="0.3">
      <c r="A154" s="12" t="s">
        <v>511</v>
      </c>
      <c r="B154" s="338" t="s">
        <v>1204</v>
      </c>
      <c r="C154" s="338"/>
      <c r="D154" s="338"/>
      <c r="E154" s="338"/>
      <c r="F154" s="338"/>
      <c r="G154" s="338"/>
      <c r="H154" s="495"/>
      <c r="I154" s="41" t="str">
        <f>_xlfn.CONCAT(_xlfn.XLOOKUP("[ActivityDataIssues][0][ActivityDataIssues]",Submission!$O:$O,Submission!$H:$N,""))</f>
        <v>Yes</v>
      </c>
    </row>
    <row r="155" spans="1:9" ht="15.6" customHeight="1" x14ac:dyDescent="0.3">
      <c r="B155" s="467" t="s">
        <v>1043</v>
      </c>
      <c r="C155" s="467"/>
      <c r="D155" s="467"/>
      <c r="E155" s="467"/>
      <c r="F155" s="467"/>
      <c r="G155" s="467"/>
      <c r="H155" s="467"/>
      <c r="I155" s="467"/>
    </row>
    <row r="156" spans="1:9" ht="43.2" customHeight="1" x14ac:dyDescent="0.3">
      <c r="C156" s="435" t="s">
        <v>879</v>
      </c>
      <c r="D156" s="437"/>
      <c r="E156" s="43" t="s">
        <v>1044</v>
      </c>
      <c r="F156" s="51" t="s">
        <v>1045</v>
      </c>
      <c r="G156" s="51" t="s">
        <v>1046</v>
      </c>
      <c r="H156" s="314" t="s">
        <v>1199</v>
      </c>
      <c r="I156" s="334"/>
    </row>
    <row r="157" spans="1:9" ht="54" customHeight="1" x14ac:dyDescent="0.3">
      <c r="C157" s="258" t="str">
        <f>_xlfn.CONCAT(_xlfn.XLOOKUP("[S08_ActivityDataIssuesDetail]["&amp;ROW(B157)-ROW($B$156)&amp;"][AnnexIActivity]",Submission!$O:$O,Submission!$H:$N,""))</f>
        <v>20 - Combustion of fuels as specified in Annex I of Directive 2003/87/EC</v>
      </c>
      <c r="D157" s="260"/>
      <c r="E157" s="72" t="str">
        <f>_xlfn.CONCAT(_xlfn.XLOOKUP("[S08_ActivityDataIssuesDetail]["&amp;ROW(B157)-ROW($B$156)&amp;"][TypeOfIssue]",Submission!$O:$O,Submission!$H:$N,""))</f>
        <v>Recommendations for improvement</v>
      </c>
      <c r="F157" s="106" t="str">
        <f>_xlfn.CONCAT(_xlfn.XLOOKUP("[S08_ActivityDataIssuesDetail]["&amp;ROW(B157)-ROW($B$156)&amp;"][NumberOfInstallations]",Submission!$O:$O,Submission!$H:$N,""))</f>
        <v>17</v>
      </c>
      <c r="G157" s="106" t="str">
        <f>_xlfn.CONCAT(_xlfn.XLOOKUP("[S08_ActivityDataIssuesDetail]["&amp;ROW(B157)-ROW($B$156)&amp;"][NumberOfIssues]",Submission!$O:$O,Submission!$H:$N,""))</f>
        <v>1</v>
      </c>
      <c r="H157" s="461" t="str">
        <f>_xlfn.CONCAT(_xlfn.XLOOKUP("[S08_ActivityDataIssuesDetail]["&amp;ROW(B157)-ROW($B$156)&amp;"][NumberOfInstallationsConEst]",Submission!$O:$O,Submission!$H:$N,""))</f>
        <v>0</v>
      </c>
      <c r="I157" s="462"/>
    </row>
    <row r="158" spans="1:9" ht="54" customHeight="1" x14ac:dyDescent="0.3">
      <c r="C158" s="258" t="str">
        <f>_xlfn.CONCAT(_xlfn.XLOOKUP("[S08_ActivityDataIssuesDetail]["&amp;ROW(B158)-ROW($B$156)&amp;"][AnnexIActivity]",Submission!$O:$O,Submission!$H:$N,""))</f>
        <v>20 - Combustion of fuels as specified in Annex I of Directive 2003/87/EC</v>
      </c>
      <c r="D158" s="260"/>
      <c r="E158" s="72" t="str">
        <f>_xlfn.CONCAT(_xlfn.XLOOKUP("[S08_ActivityDataIssuesDetail]["&amp;ROW(B158)-ROW($B$156)&amp;"][TypeOfIssue]",Submission!$O:$O,Submission!$H:$N,""))</f>
        <v>Non-material misstatements</v>
      </c>
      <c r="F158" s="106" t="str">
        <f>_xlfn.CONCAT(_xlfn.XLOOKUP("[S08_ActivityDataIssuesDetail]["&amp;ROW(B158)-ROW($B$156)&amp;"][NumberOfInstallations]",Submission!$O:$O,Submission!$H:$N,""))</f>
        <v>3</v>
      </c>
      <c r="G158" s="106" t="str">
        <f>_xlfn.CONCAT(_xlfn.XLOOKUP("[S08_ActivityDataIssuesDetail]["&amp;ROW(B158)-ROW($B$156)&amp;"][NumberOfIssues]",Submission!$O:$O,Submission!$H:$N,""))</f>
        <v>1</v>
      </c>
      <c r="H158" s="461" t="str">
        <f>_xlfn.CONCAT(_xlfn.XLOOKUP("[S08_ActivityDataIssuesDetail]["&amp;ROW(B158)-ROW($B$156)&amp;"][NumberOfInstallationsConEst]",Submission!$O:$O,Submission!$H:$N,""))</f>
        <v>0</v>
      </c>
      <c r="I158" s="462"/>
    </row>
    <row r="159" spans="1:9" ht="54" customHeight="1" x14ac:dyDescent="0.3">
      <c r="C159" s="258" t="str">
        <f>_xlfn.CONCAT(_xlfn.XLOOKUP("[S08_ActivityDataIssuesDetail]["&amp;ROW(B159)-ROW($B$156)&amp;"][AnnexIActivity]",Submission!$O:$O,Submission!$H:$N,""))</f>
        <v>32 - Manufacture of ceramic products as specified in Annex I of Directive 2003/87/EC</v>
      </c>
      <c r="D159" s="260"/>
      <c r="E159" s="72" t="str">
        <f>_xlfn.CONCAT(_xlfn.XLOOKUP("[S08_ActivityDataIssuesDetail]["&amp;ROW(B159)-ROW($B$156)&amp;"][TypeOfIssue]",Submission!$O:$O,Submission!$H:$N,""))</f>
        <v>Recommendations for improvement</v>
      </c>
      <c r="F159" s="106" t="str">
        <f>_xlfn.CONCAT(_xlfn.XLOOKUP("[S08_ActivityDataIssuesDetail]["&amp;ROW(B159)-ROW($B$156)&amp;"][NumberOfInstallations]",Submission!$O:$O,Submission!$H:$N,""))</f>
        <v>1</v>
      </c>
      <c r="G159" s="106" t="str">
        <f>_xlfn.CONCAT(_xlfn.XLOOKUP("[S08_ActivityDataIssuesDetail]["&amp;ROW(B159)-ROW($B$156)&amp;"][NumberOfIssues]",Submission!$O:$O,Submission!$H:$N,""))</f>
        <v>1</v>
      </c>
      <c r="H159" s="461" t="str">
        <f>_xlfn.CONCAT(_xlfn.XLOOKUP("[S08_ActivityDataIssuesDetail]["&amp;ROW(B159)-ROW($B$156)&amp;"][NumberOfInstallationsConEst]",Submission!$O:$O,Submission!$H:$N,""))</f>
        <v>0</v>
      </c>
      <c r="I159" s="462"/>
    </row>
    <row r="160" spans="1:9" ht="54" customHeight="1" x14ac:dyDescent="0.3">
      <c r="C160" s="258" t="str">
        <f>_xlfn.CONCAT(_xlfn.XLOOKUP("[S08_ActivityDataIssuesDetail]["&amp;ROW(B160)-ROW($B$156)&amp;"][AnnexIActivity]",Submission!$O:$O,Submission!$H:$N,""))</f>
        <v>25 - Production or processing of ferrous metals as specified in Annex I of Directive 2003/87/EC</v>
      </c>
      <c r="D160" s="260"/>
      <c r="E160" s="72" t="str">
        <f>_xlfn.CONCAT(_xlfn.XLOOKUP("[S08_ActivityDataIssuesDetail]["&amp;ROW(B160)-ROW($B$156)&amp;"][TypeOfIssue]",Submission!$O:$O,Submission!$H:$N,""))</f>
        <v>Recommendations for improvement</v>
      </c>
      <c r="F160" s="106" t="str">
        <f>_xlfn.CONCAT(_xlfn.XLOOKUP("[S08_ActivityDataIssuesDetail]["&amp;ROW(B160)-ROW($B$156)&amp;"][NumberOfInstallations]",Submission!$O:$O,Submission!$H:$N,""))</f>
        <v>3</v>
      </c>
      <c r="G160" s="106" t="str">
        <f>_xlfn.CONCAT(_xlfn.XLOOKUP("[S08_ActivityDataIssuesDetail]["&amp;ROW(B160)-ROW($B$156)&amp;"][NumberOfIssues]",Submission!$O:$O,Submission!$H:$N,""))</f>
        <v>1</v>
      </c>
      <c r="H160" s="461" t="str">
        <f>_xlfn.CONCAT(_xlfn.XLOOKUP("[S08_ActivityDataIssuesDetail]["&amp;ROW(B160)-ROW($B$156)&amp;"][NumberOfInstallationsConEst]",Submission!$O:$O,Submission!$H:$N,""))</f>
        <v>0</v>
      </c>
      <c r="I160" s="462"/>
    </row>
    <row r="161" spans="3:9" ht="54" customHeight="1" x14ac:dyDescent="0.3">
      <c r="C161" s="258" t="str">
        <f>_xlfn.CONCAT(_xlfn.XLOOKUP("[S08_ActivityDataIssuesDetail]["&amp;ROW(B161)-ROW($B$156)&amp;"][AnnexIActivity]",Submission!$O:$O,Submission!$H:$N,""))</f>
        <v>31 - Manufacture of glass as specified in Annex I of Directive 2003/87/EC</v>
      </c>
      <c r="D161" s="260"/>
      <c r="E161" s="72" t="str">
        <f>_xlfn.CONCAT(_xlfn.XLOOKUP("[S08_ActivityDataIssuesDetail]["&amp;ROW(B161)-ROW($B$156)&amp;"][TypeOfIssue]",Submission!$O:$O,Submission!$H:$N,""))</f>
        <v>Recommendations for improvement</v>
      </c>
      <c r="F161" s="106" t="str">
        <f>_xlfn.CONCAT(_xlfn.XLOOKUP("[S08_ActivityDataIssuesDetail]["&amp;ROW(B161)-ROW($B$156)&amp;"][NumberOfInstallations]",Submission!$O:$O,Submission!$H:$N,""))</f>
        <v>1</v>
      </c>
      <c r="G161" s="106" t="str">
        <f>_xlfn.CONCAT(_xlfn.XLOOKUP("[S08_ActivityDataIssuesDetail]["&amp;ROW(B161)-ROW($B$156)&amp;"][NumberOfIssues]",Submission!$O:$O,Submission!$H:$N,""))</f>
        <v>1</v>
      </c>
      <c r="H161" s="461" t="str">
        <f>_xlfn.CONCAT(_xlfn.XLOOKUP("[S08_ActivityDataIssuesDetail]["&amp;ROW(B161)-ROW($B$156)&amp;"][NumberOfInstallationsConEst]",Submission!$O:$O,Submission!$H:$N,""))</f>
        <v>1</v>
      </c>
      <c r="I161" s="462"/>
    </row>
    <row r="162" spans="3:9" ht="54" customHeight="1" x14ac:dyDescent="0.3">
      <c r="C162" s="258" t="str">
        <f>_xlfn.CONCAT(_xlfn.XLOOKUP("[S08_ActivityDataIssuesDetail]["&amp;ROW(B162)-ROW($B$156)&amp;"][AnnexIActivity]",Submission!$O:$O,Submission!$H:$N,""))</f>
        <v/>
      </c>
      <c r="D162" s="260"/>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61" t="str">
        <f>_xlfn.CONCAT(_xlfn.XLOOKUP("[S08_ActivityDataIssuesDetail]["&amp;ROW(B162)-ROW($B$156)&amp;"][NumberOfInstallationsConEst]",Submission!$O:$O,Submission!$H:$N,""))</f>
        <v/>
      </c>
      <c r="I162" s="462"/>
    </row>
    <row r="163" spans="3:9" ht="54" customHeight="1" x14ac:dyDescent="0.3">
      <c r="C163" s="258" t="str">
        <f>_xlfn.CONCAT(_xlfn.XLOOKUP("[S08_ActivityDataIssuesDetail]["&amp;ROW(B163)-ROW($B$156)&amp;"][AnnexIActivity]",Submission!$O:$O,Submission!$H:$N,""))</f>
        <v/>
      </c>
      <c r="D163" s="260"/>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61" t="str">
        <f>_xlfn.CONCAT(_xlfn.XLOOKUP("[S08_ActivityDataIssuesDetail]["&amp;ROW(B163)-ROW($B$156)&amp;"][NumberOfInstallationsConEst]",Submission!$O:$O,Submission!$H:$N,""))</f>
        <v/>
      </c>
      <c r="I163" s="462"/>
    </row>
    <row r="164" spans="3:9" ht="54" customHeight="1" x14ac:dyDescent="0.3">
      <c r="C164" s="258" t="str">
        <f>_xlfn.CONCAT(_xlfn.XLOOKUP("[S08_ActivityDataIssuesDetail]["&amp;ROW(B164)-ROW($B$156)&amp;"][AnnexIActivity]",Submission!$O:$O,Submission!$H:$N,""))</f>
        <v/>
      </c>
      <c r="D164" s="260"/>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61" t="str">
        <f>_xlfn.CONCAT(_xlfn.XLOOKUP("[S08_ActivityDataIssuesDetail]["&amp;ROW(B164)-ROW($B$156)&amp;"][NumberOfInstallationsConEst]",Submission!$O:$O,Submission!$H:$N,""))</f>
        <v/>
      </c>
      <c r="I164" s="462"/>
    </row>
    <row r="165" spans="3:9" ht="54" customHeight="1" x14ac:dyDescent="0.3">
      <c r="C165" s="258" t="str">
        <f>_xlfn.CONCAT(_xlfn.XLOOKUP("[S08_ActivityDataIssuesDetail]["&amp;ROW(B165)-ROW($B$156)&amp;"][AnnexIActivity]",Submission!$O:$O,Submission!$H:$N,""))</f>
        <v/>
      </c>
      <c r="D165" s="260"/>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61" t="str">
        <f>_xlfn.CONCAT(_xlfn.XLOOKUP("[S08_ActivityDataIssuesDetail]["&amp;ROW(B165)-ROW($B$156)&amp;"][NumberOfInstallationsConEst]",Submission!$O:$O,Submission!$H:$N,""))</f>
        <v/>
      </c>
      <c r="I165" s="462"/>
    </row>
    <row r="166" spans="3:9" ht="54" customHeight="1" x14ac:dyDescent="0.3">
      <c r="C166" s="258" t="str">
        <f>_xlfn.CONCAT(_xlfn.XLOOKUP("[S08_ActivityDataIssuesDetail]["&amp;ROW(B166)-ROW($B$156)&amp;"][AnnexIActivity]",Submission!$O:$O,Submission!$H:$N,""))</f>
        <v/>
      </c>
      <c r="D166" s="260"/>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61" t="str">
        <f>_xlfn.CONCAT(_xlfn.XLOOKUP("[S08_ActivityDataIssuesDetail]["&amp;ROW(B166)-ROW($B$156)&amp;"][NumberOfInstallationsConEst]",Submission!$O:$O,Submission!$H:$N,""))</f>
        <v/>
      </c>
      <c r="I166" s="462"/>
    </row>
    <row r="167" spans="3:9" ht="54" customHeight="1" x14ac:dyDescent="0.3">
      <c r="C167" s="258" t="str">
        <f>_xlfn.CONCAT(_xlfn.XLOOKUP("[S08_ActivityDataIssuesDetail]["&amp;ROW(B167)-ROW($B$156)&amp;"][AnnexIActivity]",Submission!$O:$O,Submission!$H:$N,""))</f>
        <v/>
      </c>
      <c r="D167" s="260"/>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61" t="str">
        <f>_xlfn.CONCAT(_xlfn.XLOOKUP("[S08_ActivityDataIssuesDetail]["&amp;ROW(B167)-ROW($B$156)&amp;"][NumberOfInstallationsConEst]",Submission!$O:$O,Submission!$H:$N,""))</f>
        <v/>
      </c>
      <c r="I167" s="462"/>
    </row>
    <row r="168" spans="3:9" ht="54" customHeight="1" x14ac:dyDescent="0.3">
      <c r="C168" s="258" t="str">
        <f>_xlfn.CONCAT(_xlfn.XLOOKUP("[S08_ActivityDataIssuesDetail]["&amp;ROW(B168)-ROW($B$156)&amp;"][AnnexIActivity]",Submission!$O:$O,Submission!$H:$N,""))</f>
        <v/>
      </c>
      <c r="D168" s="260"/>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61" t="str">
        <f>_xlfn.CONCAT(_xlfn.XLOOKUP("[S08_ActivityDataIssuesDetail]["&amp;ROW(B168)-ROW($B$156)&amp;"][NumberOfInstallationsConEst]",Submission!$O:$O,Submission!$H:$N,""))</f>
        <v/>
      </c>
      <c r="I168" s="462"/>
    </row>
    <row r="169" spans="3:9" ht="54" customHeight="1" x14ac:dyDescent="0.3">
      <c r="C169" s="258" t="str">
        <f>_xlfn.CONCAT(_xlfn.XLOOKUP("[S08_ActivityDataIssuesDetail]["&amp;ROW(B169)-ROW($B$156)&amp;"][AnnexIActivity]",Submission!$O:$O,Submission!$H:$N,""))</f>
        <v/>
      </c>
      <c r="D169" s="260"/>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1" t="str">
        <f>_xlfn.CONCAT(_xlfn.XLOOKUP("[S08_ActivityDataIssuesDetail]["&amp;ROW(B169)-ROW($B$156)&amp;"][NumberOfInstallationsConEst]",Submission!$O:$O,Submission!$H:$N,""))</f>
        <v/>
      </c>
      <c r="I169" s="462"/>
    </row>
    <row r="170" spans="3:9" ht="54" customHeight="1" x14ac:dyDescent="0.3">
      <c r="C170" s="258" t="str">
        <f>_xlfn.CONCAT(_xlfn.XLOOKUP("[S08_ActivityDataIssuesDetail]["&amp;ROW(B170)-ROW($B$156)&amp;"][AnnexIActivity]",Submission!$O:$O,Submission!$H:$N,""))</f>
        <v/>
      </c>
      <c r="D170" s="260"/>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1" t="str">
        <f>_xlfn.CONCAT(_xlfn.XLOOKUP("[S08_ActivityDataIssuesDetail]["&amp;ROW(B170)-ROW($B$156)&amp;"][NumberOfInstallationsConEst]",Submission!$O:$O,Submission!$H:$N,""))</f>
        <v/>
      </c>
      <c r="I170" s="462"/>
    </row>
    <row r="171" spans="3:9" ht="54" customHeight="1" x14ac:dyDescent="0.3">
      <c r="C171" s="258" t="str">
        <f>_xlfn.CONCAT(_xlfn.XLOOKUP("[S08_ActivityDataIssuesDetail]["&amp;ROW(B171)-ROW($B$156)&amp;"][AnnexIActivity]",Submission!$O:$O,Submission!$H:$N,""))</f>
        <v/>
      </c>
      <c r="D171" s="260"/>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1" t="str">
        <f>_xlfn.CONCAT(_xlfn.XLOOKUP("[S08_ActivityDataIssuesDetail]["&amp;ROW(B171)-ROW($B$156)&amp;"][NumberOfInstallationsConEst]",Submission!$O:$O,Submission!$H:$N,""))</f>
        <v/>
      </c>
      <c r="I171" s="462"/>
    </row>
    <row r="172" spans="3:9" ht="54" hidden="1" customHeight="1" outlineLevel="1" x14ac:dyDescent="0.3">
      <c r="C172" s="258" t="str">
        <f>_xlfn.CONCAT(_xlfn.XLOOKUP("[S08_ActivityDataIssuesDetail]["&amp;ROW(B172)-ROW($B$156)&amp;"][AnnexIActivity]",Submission!$O:$O,Submission!$H:$N,""))</f>
        <v/>
      </c>
      <c r="D172" s="260"/>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1" t="str">
        <f>_xlfn.CONCAT(_xlfn.XLOOKUP("[S08_ActivityDataIssuesDetail]["&amp;ROW(B172)-ROW($B$156)&amp;"][NumberOfInstallationsConEst]",Submission!$O:$O,Submission!$H:$N,""))</f>
        <v/>
      </c>
      <c r="I172" s="462"/>
    </row>
    <row r="173" spans="3:9" ht="54" hidden="1" customHeight="1" outlineLevel="1" x14ac:dyDescent="0.3">
      <c r="C173" s="258" t="str">
        <f>_xlfn.CONCAT(_xlfn.XLOOKUP("[S08_ActivityDataIssuesDetail]["&amp;ROW(B173)-ROW($B$156)&amp;"][AnnexIActivity]",Submission!$O:$O,Submission!$H:$N,""))</f>
        <v/>
      </c>
      <c r="D173" s="260"/>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1" t="str">
        <f>_xlfn.CONCAT(_xlfn.XLOOKUP("[S08_ActivityDataIssuesDetail]["&amp;ROW(B173)-ROW($B$156)&amp;"][NumberOfInstallationsConEst]",Submission!$O:$O,Submission!$H:$N,""))</f>
        <v/>
      </c>
      <c r="I173" s="462"/>
    </row>
    <row r="174" spans="3:9" ht="54" hidden="1" customHeight="1" outlineLevel="1" x14ac:dyDescent="0.3">
      <c r="C174" s="258" t="str">
        <f>_xlfn.CONCAT(_xlfn.XLOOKUP("[S08_ActivityDataIssuesDetail]["&amp;ROW(B174)-ROW($B$156)&amp;"][AnnexIActivity]",Submission!$O:$O,Submission!$H:$N,""))</f>
        <v/>
      </c>
      <c r="D174" s="260"/>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1" t="str">
        <f>_xlfn.CONCAT(_xlfn.XLOOKUP("[S08_ActivityDataIssuesDetail]["&amp;ROW(B174)-ROW($B$156)&amp;"][NumberOfInstallationsConEst]",Submission!$O:$O,Submission!$H:$N,""))</f>
        <v/>
      </c>
      <c r="I174" s="462"/>
    </row>
    <row r="175" spans="3:9" ht="54" hidden="1" customHeight="1" outlineLevel="1" x14ac:dyDescent="0.3">
      <c r="C175" s="258" t="str">
        <f>_xlfn.CONCAT(_xlfn.XLOOKUP("[S08_ActivityDataIssuesDetail]["&amp;ROW(B175)-ROW($B$156)&amp;"][AnnexIActivity]",Submission!$O:$O,Submission!$H:$N,""))</f>
        <v/>
      </c>
      <c r="D175" s="260"/>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1" t="str">
        <f>_xlfn.CONCAT(_xlfn.XLOOKUP("[S08_ActivityDataIssuesDetail]["&amp;ROW(B175)-ROW($B$156)&amp;"][NumberOfInstallationsConEst]",Submission!$O:$O,Submission!$H:$N,""))</f>
        <v/>
      </c>
      <c r="I175" s="462"/>
    </row>
    <row r="176" spans="3:9" ht="54" hidden="1" customHeight="1" outlineLevel="1" x14ac:dyDescent="0.3">
      <c r="C176" s="258" t="str">
        <f>_xlfn.CONCAT(_xlfn.XLOOKUP("[S08_ActivityDataIssuesDetail]["&amp;ROW(B176)-ROW($B$156)&amp;"][AnnexIActivity]",Submission!$O:$O,Submission!$H:$N,""))</f>
        <v/>
      </c>
      <c r="D176" s="260"/>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1" t="str">
        <f>_xlfn.CONCAT(_xlfn.XLOOKUP("[S08_ActivityDataIssuesDetail]["&amp;ROW(B176)-ROW($B$156)&amp;"][NumberOfInstallationsConEst]",Submission!$O:$O,Submission!$H:$N,""))</f>
        <v/>
      </c>
      <c r="I176" s="462"/>
    </row>
    <row r="177" spans="3:9" ht="54" hidden="1" customHeight="1" outlineLevel="1" x14ac:dyDescent="0.3">
      <c r="C177" s="258" t="str">
        <f>_xlfn.CONCAT(_xlfn.XLOOKUP("[S08_ActivityDataIssuesDetail]["&amp;ROW(B177)-ROW($B$156)&amp;"][AnnexIActivity]",Submission!$O:$O,Submission!$H:$N,""))</f>
        <v/>
      </c>
      <c r="D177" s="260"/>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1" t="str">
        <f>_xlfn.CONCAT(_xlfn.XLOOKUP("[S08_ActivityDataIssuesDetail]["&amp;ROW(B177)-ROW($B$156)&amp;"][NumberOfInstallationsConEst]",Submission!$O:$O,Submission!$H:$N,""))</f>
        <v/>
      </c>
      <c r="I177" s="462"/>
    </row>
    <row r="178" spans="3:9" ht="54" hidden="1" customHeight="1" outlineLevel="1" x14ac:dyDescent="0.3">
      <c r="C178" s="258" t="str">
        <f>_xlfn.CONCAT(_xlfn.XLOOKUP("[S08_ActivityDataIssuesDetail]["&amp;ROW(B178)-ROW($B$156)&amp;"][AnnexIActivity]",Submission!$O:$O,Submission!$H:$N,""))</f>
        <v/>
      </c>
      <c r="D178" s="260"/>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1" t="str">
        <f>_xlfn.CONCAT(_xlfn.XLOOKUP("[S08_ActivityDataIssuesDetail]["&amp;ROW(B178)-ROW($B$156)&amp;"][NumberOfInstallationsConEst]",Submission!$O:$O,Submission!$H:$N,""))</f>
        <v/>
      </c>
      <c r="I178" s="462"/>
    </row>
    <row r="179" spans="3:9" ht="54" hidden="1" customHeight="1" outlineLevel="1" x14ac:dyDescent="0.3">
      <c r="C179" s="258" t="str">
        <f>_xlfn.CONCAT(_xlfn.XLOOKUP("[S08_ActivityDataIssuesDetail]["&amp;ROW(B179)-ROW($B$156)&amp;"][AnnexIActivity]",Submission!$O:$O,Submission!$H:$N,""))</f>
        <v/>
      </c>
      <c r="D179" s="260"/>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1" t="str">
        <f>_xlfn.CONCAT(_xlfn.XLOOKUP("[S08_ActivityDataIssuesDetail]["&amp;ROW(B179)-ROW($B$156)&amp;"][NumberOfInstallationsConEst]",Submission!$O:$O,Submission!$H:$N,""))</f>
        <v/>
      </c>
      <c r="I179" s="462"/>
    </row>
    <row r="180" spans="3:9" ht="54" hidden="1" customHeight="1" outlineLevel="1" x14ac:dyDescent="0.3">
      <c r="C180" s="258" t="str">
        <f>_xlfn.CONCAT(_xlfn.XLOOKUP("[S08_ActivityDataIssuesDetail]["&amp;ROW(B180)-ROW($B$156)&amp;"][AnnexIActivity]",Submission!$O:$O,Submission!$H:$N,""))</f>
        <v/>
      </c>
      <c r="D180" s="260"/>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1" t="str">
        <f>_xlfn.CONCAT(_xlfn.XLOOKUP("[S08_ActivityDataIssuesDetail]["&amp;ROW(B180)-ROW($B$156)&amp;"][NumberOfInstallationsConEst]",Submission!$O:$O,Submission!$H:$N,""))</f>
        <v/>
      </c>
      <c r="I180" s="462"/>
    </row>
    <row r="181" spans="3:9" ht="54" hidden="1" customHeight="1" outlineLevel="1" x14ac:dyDescent="0.3">
      <c r="C181" s="258" t="str">
        <f>_xlfn.CONCAT(_xlfn.XLOOKUP("[S08_ActivityDataIssuesDetail]["&amp;ROW(B181)-ROW($B$156)&amp;"][AnnexIActivity]",Submission!$O:$O,Submission!$H:$N,""))</f>
        <v/>
      </c>
      <c r="D181" s="260"/>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1" t="str">
        <f>_xlfn.CONCAT(_xlfn.XLOOKUP("[S08_ActivityDataIssuesDetail]["&amp;ROW(B181)-ROW($B$156)&amp;"][NumberOfInstallationsConEst]",Submission!$O:$O,Submission!$H:$N,""))</f>
        <v/>
      </c>
      <c r="I181" s="462"/>
    </row>
    <row r="182" spans="3:9" ht="54" hidden="1" customHeight="1" outlineLevel="1" x14ac:dyDescent="0.3">
      <c r="C182" s="258" t="str">
        <f>_xlfn.CONCAT(_xlfn.XLOOKUP("[S08_ActivityDataIssuesDetail]["&amp;ROW(B182)-ROW($B$156)&amp;"][AnnexIActivity]",Submission!$O:$O,Submission!$H:$N,""))</f>
        <v/>
      </c>
      <c r="D182" s="260"/>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1" t="str">
        <f>_xlfn.CONCAT(_xlfn.XLOOKUP("[S08_ActivityDataIssuesDetail]["&amp;ROW(B182)-ROW($B$156)&amp;"][NumberOfInstallationsConEst]",Submission!$O:$O,Submission!$H:$N,""))</f>
        <v/>
      </c>
      <c r="I182" s="462"/>
    </row>
    <row r="183" spans="3:9" ht="54" hidden="1" customHeight="1" outlineLevel="1" x14ac:dyDescent="0.3">
      <c r="C183" s="258" t="str">
        <f>_xlfn.CONCAT(_xlfn.XLOOKUP("[S08_ActivityDataIssuesDetail]["&amp;ROW(B183)-ROW($B$156)&amp;"][AnnexIActivity]",Submission!$O:$O,Submission!$H:$N,""))</f>
        <v/>
      </c>
      <c r="D183" s="260"/>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1" t="str">
        <f>_xlfn.CONCAT(_xlfn.XLOOKUP("[S08_ActivityDataIssuesDetail]["&amp;ROW(B183)-ROW($B$156)&amp;"][NumberOfInstallationsConEst]",Submission!$O:$O,Submission!$H:$N,""))</f>
        <v/>
      </c>
      <c r="I183" s="462"/>
    </row>
    <row r="184" spans="3:9" ht="54" hidden="1" customHeight="1" outlineLevel="1" x14ac:dyDescent="0.3">
      <c r="C184" s="258" t="str">
        <f>_xlfn.CONCAT(_xlfn.XLOOKUP("[S08_ActivityDataIssuesDetail]["&amp;ROW(B184)-ROW($B$156)&amp;"][AnnexIActivity]",Submission!$O:$O,Submission!$H:$N,""))</f>
        <v/>
      </c>
      <c r="D184" s="260"/>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1" t="str">
        <f>_xlfn.CONCAT(_xlfn.XLOOKUP("[S08_ActivityDataIssuesDetail]["&amp;ROW(B184)-ROW($B$156)&amp;"][NumberOfInstallationsConEst]",Submission!$O:$O,Submission!$H:$N,""))</f>
        <v/>
      </c>
      <c r="I184" s="462"/>
    </row>
    <row r="185" spans="3:9" ht="54" hidden="1" customHeight="1" outlineLevel="1" x14ac:dyDescent="0.3">
      <c r="C185" s="258" t="str">
        <f>_xlfn.CONCAT(_xlfn.XLOOKUP("[S08_ActivityDataIssuesDetail]["&amp;ROW(B185)-ROW($B$156)&amp;"][AnnexIActivity]",Submission!$O:$O,Submission!$H:$N,""))</f>
        <v/>
      </c>
      <c r="D185" s="260"/>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1" t="str">
        <f>_xlfn.CONCAT(_xlfn.XLOOKUP("[S08_ActivityDataIssuesDetail]["&amp;ROW(B185)-ROW($B$156)&amp;"][NumberOfInstallationsConEst]",Submission!$O:$O,Submission!$H:$N,""))</f>
        <v/>
      </c>
      <c r="I185" s="462"/>
    </row>
    <row r="186" spans="3:9" ht="54" hidden="1" customHeight="1" outlineLevel="1" x14ac:dyDescent="0.3">
      <c r="C186" s="258" t="str">
        <f>_xlfn.CONCAT(_xlfn.XLOOKUP("[S08_ActivityDataIssuesDetail]["&amp;ROW(B186)-ROW($B$156)&amp;"][AnnexIActivity]",Submission!$O:$O,Submission!$H:$N,""))</f>
        <v/>
      </c>
      <c r="D186" s="260"/>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1" t="str">
        <f>_xlfn.CONCAT(_xlfn.XLOOKUP("[S08_ActivityDataIssuesDetail]["&amp;ROW(B186)-ROW($B$156)&amp;"][NumberOfInstallationsConEst]",Submission!$O:$O,Submission!$H:$N,""))</f>
        <v/>
      </c>
      <c r="I186" s="462"/>
    </row>
    <row r="187" spans="3:9" ht="54" hidden="1" customHeight="1" outlineLevel="1" x14ac:dyDescent="0.3">
      <c r="C187" s="258" t="str">
        <f>_xlfn.CONCAT(_xlfn.XLOOKUP("[S08_ActivityDataIssuesDetail]["&amp;ROW(B187)-ROW($B$156)&amp;"][AnnexIActivity]",Submission!$O:$O,Submission!$H:$N,""))</f>
        <v/>
      </c>
      <c r="D187" s="260"/>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1" t="str">
        <f>_xlfn.CONCAT(_xlfn.XLOOKUP("[S08_ActivityDataIssuesDetail]["&amp;ROW(B187)-ROW($B$156)&amp;"][NumberOfInstallationsConEst]",Submission!$O:$O,Submission!$H:$N,""))</f>
        <v/>
      </c>
      <c r="I187" s="462"/>
    </row>
    <row r="188" spans="3:9" ht="54" hidden="1" customHeight="1" outlineLevel="1" x14ac:dyDescent="0.3">
      <c r="C188" s="258" t="str">
        <f>_xlfn.CONCAT(_xlfn.XLOOKUP("[S08_ActivityDataIssuesDetail]["&amp;ROW(B188)-ROW($B$156)&amp;"][AnnexIActivity]",Submission!$O:$O,Submission!$H:$N,""))</f>
        <v/>
      </c>
      <c r="D188" s="260"/>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1" t="str">
        <f>_xlfn.CONCAT(_xlfn.XLOOKUP("[S08_ActivityDataIssuesDetail]["&amp;ROW(B188)-ROW($B$156)&amp;"][NumberOfInstallationsConEst]",Submission!$O:$O,Submission!$H:$N,""))</f>
        <v/>
      </c>
      <c r="I188" s="462"/>
    </row>
    <row r="189" spans="3:9" ht="54" hidden="1" customHeight="1" outlineLevel="1" x14ac:dyDescent="0.3">
      <c r="C189" s="258" t="str">
        <f>_xlfn.CONCAT(_xlfn.XLOOKUP("[S08_ActivityDataIssuesDetail]["&amp;ROW(B189)-ROW($B$156)&amp;"][AnnexIActivity]",Submission!$O:$O,Submission!$H:$N,""))</f>
        <v/>
      </c>
      <c r="D189" s="260"/>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1" t="str">
        <f>_xlfn.CONCAT(_xlfn.XLOOKUP("[S08_ActivityDataIssuesDetail]["&amp;ROW(B189)-ROW($B$156)&amp;"][NumberOfInstallationsConEst]",Submission!$O:$O,Submission!$H:$N,""))</f>
        <v/>
      </c>
      <c r="I189" s="462"/>
    </row>
    <row r="190" spans="3:9" ht="54" hidden="1" customHeight="1" outlineLevel="1" x14ac:dyDescent="0.3">
      <c r="C190" s="258" t="str">
        <f>_xlfn.CONCAT(_xlfn.XLOOKUP("[S08_ActivityDataIssuesDetail]["&amp;ROW(B190)-ROW($B$156)&amp;"][AnnexIActivity]",Submission!$O:$O,Submission!$H:$N,""))</f>
        <v/>
      </c>
      <c r="D190" s="260"/>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1" t="str">
        <f>_xlfn.CONCAT(_xlfn.XLOOKUP("[S08_ActivityDataIssuesDetail]["&amp;ROW(B190)-ROW($B$156)&amp;"][NumberOfInstallationsConEst]",Submission!$O:$O,Submission!$H:$N,""))</f>
        <v/>
      </c>
      <c r="I190" s="462"/>
    </row>
    <row r="191" spans="3:9" ht="54" hidden="1" customHeight="1" outlineLevel="1" x14ac:dyDescent="0.3">
      <c r="C191" s="258" t="str">
        <f>_xlfn.CONCAT(_xlfn.XLOOKUP("[S08_ActivityDataIssuesDetail]["&amp;ROW(B191)-ROW($B$156)&amp;"][AnnexIActivity]",Submission!$O:$O,Submission!$H:$N,""))</f>
        <v/>
      </c>
      <c r="D191" s="260"/>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1" t="str">
        <f>_xlfn.CONCAT(_xlfn.XLOOKUP("[S08_ActivityDataIssuesDetail]["&amp;ROW(B191)-ROW($B$156)&amp;"][NumberOfInstallationsConEst]",Submission!$O:$O,Submission!$H:$N,""))</f>
        <v/>
      </c>
      <c r="I191" s="462"/>
    </row>
    <row r="192" spans="3:9" ht="54" hidden="1" customHeight="1" outlineLevel="1" x14ac:dyDescent="0.3">
      <c r="C192" s="258" t="str">
        <f>_xlfn.CONCAT(_xlfn.XLOOKUP("[S08_ActivityDataIssuesDetail]["&amp;ROW(B192)-ROW($B$156)&amp;"][AnnexIActivity]",Submission!$O:$O,Submission!$H:$N,""))</f>
        <v/>
      </c>
      <c r="D192" s="260"/>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1" t="str">
        <f>_xlfn.CONCAT(_xlfn.XLOOKUP("[S08_ActivityDataIssuesDetail]["&amp;ROW(B192)-ROW($B$156)&amp;"][NumberOfInstallationsConEst]",Submission!$O:$O,Submission!$H:$N,""))</f>
        <v/>
      </c>
      <c r="I192" s="462"/>
    </row>
    <row r="193" spans="3:9" ht="54" hidden="1" customHeight="1" outlineLevel="1" x14ac:dyDescent="0.3">
      <c r="C193" s="258" t="str">
        <f>_xlfn.CONCAT(_xlfn.XLOOKUP("[S08_ActivityDataIssuesDetail]["&amp;ROW(B193)-ROW($B$156)&amp;"][AnnexIActivity]",Submission!$O:$O,Submission!$H:$N,""))</f>
        <v/>
      </c>
      <c r="D193" s="260"/>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1" t="str">
        <f>_xlfn.CONCAT(_xlfn.XLOOKUP("[S08_ActivityDataIssuesDetail]["&amp;ROW(B193)-ROW($B$156)&amp;"][NumberOfInstallationsConEst]",Submission!$O:$O,Submission!$H:$N,""))</f>
        <v/>
      </c>
      <c r="I193" s="462"/>
    </row>
    <row r="194" spans="3:9" ht="54" hidden="1" customHeight="1" outlineLevel="1" x14ac:dyDescent="0.3">
      <c r="C194" s="258" t="str">
        <f>_xlfn.CONCAT(_xlfn.XLOOKUP("[S08_ActivityDataIssuesDetail]["&amp;ROW(B194)-ROW($B$156)&amp;"][AnnexIActivity]",Submission!$O:$O,Submission!$H:$N,""))</f>
        <v/>
      </c>
      <c r="D194" s="260"/>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1" t="str">
        <f>_xlfn.CONCAT(_xlfn.XLOOKUP("[S08_ActivityDataIssuesDetail]["&amp;ROW(B194)-ROW($B$156)&amp;"][NumberOfInstallationsConEst]",Submission!$O:$O,Submission!$H:$N,""))</f>
        <v/>
      </c>
      <c r="I194" s="462"/>
    </row>
    <row r="195" spans="3:9" ht="54" hidden="1" customHeight="1" outlineLevel="1" x14ac:dyDescent="0.3">
      <c r="C195" s="258" t="str">
        <f>_xlfn.CONCAT(_xlfn.XLOOKUP("[S08_ActivityDataIssuesDetail]["&amp;ROW(B195)-ROW($B$156)&amp;"][AnnexIActivity]",Submission!$O:$O,Submission!$H:$N,""))</f>
        <v/>
      </c>
      <c r="D195" s="260"/>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1" t="str">
        <f>_xlfn.CONCAT(_xlfn.XLOOKUP("[S08_ActivityDataIssuesDetail]["&amp;ROW(B195)-ROW($B$156)&amp;"][NumberOfInstallationsConEst]",Submission!$O:$O,Submission!$H:$N,""))</f>
        <v/>
      </c>
      <c r="I195" s="462"/>
    </row>
    <row r="196" spans="3:9" ht="54" hidden="1" customHeight="1" outlineLevel="1" x14ac:dyDescent="0.3">
      <c r="C196" s="258" t="str">
        <f>_xlfn.CONCAT(_xlfn.XLOOKUP("[S08_ActivityDataIssuesDetail]["&amp;ROW(B196)-ROW($B$156)&amp;"][AnnexIActivity]",Submission!$O:$O,Submission!$H:$N,""))</f>
        <v/>
      </c>
      <c r="D196" s="260"/>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1" t="str">
        <f>_xlfn.CONCAT(_xlfn.XLOOKUP("[S08_ActivityDataIssuesDetail]["&amp;ROW(B196)-ROW($B$156)&amp;"][NumberOfInstallationsConEst]",Submission!$O:$O,Submission!$H:$N,""))</f>
        <v/>
      </c>
      <c r="I196" s="462"/>
    </row>
    <row r="197" spans="3:9" ht="54" hidden="1" customHeight="1" outlineLevel="1" x14ac:dyDescent="0.3">
      <c r="C197" s="258" t="str">
        <f>_xlfn.CONCAT(_xlfn.XLOOKUP("[S08_ActivityDataIssuesDetail]["&amp;ROW(B197)-ROW($B$156)&amp;"][AnnexIActivity]",Submission!$O:$O,Submission!$H:$N,""))</f>
        <v/>
      </c>
      <c r="D197" s="260"/>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1" t="str">
        <f>_xlfn.CONCAT(_xlfn.XLOOKUP("[S08_ActivityDataIssuesDetail]["&amp;ROW(B197)-ROW($B$156)&amp;"][NumberOfInstallationsConEst]",Submission!$O:$O,Submission!$H:$N,""))</f>
        <v/>
      </c>
      <c r="I197" s="462"/>
    </row>
    <row r="198" spans="3:9" ht="54" hidden="1" customHeight="1" outlineLevel="1" x14ac:dyDescent="0.3">
      <c r="C198" s="258" t="str">
        <f>_xlfn.CONCAT(_xlfn.XLOOKUP("[S08_ActivityDataIssuesDetail]["&amp;ROW(B198)-ROW($B$156)&amp;"][AnnexIActivity]",Submission!$O:$O,Submission!$H:$N,""))</f>
        <v/>
      </c>
      <c r="D198" s="260"/>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1" t="str">
        <f>_xlfn.CONCAT(_xlfn.XLOOKUP("[S08_ActivityDataIssuesDetail]["&amp;ROW(B198)-ROW($B$156)&amp;"][NumberOfInstallationsConEst]",Submission!$O:$O,Submission!$H:$N,""))</f>
        <v/>
      </c>
      <c r="I198" s="462"/>
    </row>
    <row r="199" spans="3:9" ht="54" hidden="1" customHeight="1" outlineLevel="1" x14ac:dyDescent="0.3">
      <c r="C199" s="258" t="str">
        <f>_xlfn.CONCAT(_xlfn.XLOOKUP("[S08_ActivityDataIssuesDetail]["&amp;ROW(B199)-ROW($B$156)&amp;"][AnnexIActivity]",Submission!$O:$O,Submission!$H:$N,""))</f>
        <v/>
      </c>
      <c r="D199" s="260"/>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1" t="str">
        <f>_xlfn.CONCAT(_xlfn.XLOOKUP("[S08_ActivityDataIssuesDetail]["&amp;ROW(B199)-ROW($B$156)&amp;"][NumberOfInstallationsConEst]",Submission!$O:$O,Submission!$H:$N,""))</f>
        <v/>
      </c>
      <c r="I199" s="462"/>
    </row>
    <row r="200" spans="3:9" ht="54" hidden="1" customHeight="1" outlineLevel="1" x14ac:dyDescent="0.3">
      <c r="C200" s="258" t="str">
        <f>_xlfn.CONCAT(_xlfn.XLOOKUP("[S08_ActivityDataIssuesDetail]["&amp;ROW(B200)-ROW($B$156)&amp;"][AnnexIActivity]",Submission!$O:$O,Submission!$H:$N,""))</f>
        <v/>
      </c>
      <c r="D200" s="260"/>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1" t="str">
        <f>_xlfn.CONCAT(_xlfn.XLOOKUP("[S08_ActivityDataIssuesDetail]["&amp;ROW(B200)-ROW($B$156)&amp;"][NumberOfInstallationsConEst]",Submission!$O:$O,Submission!$H:$N,""))</f>
        <v/>
      </c>
      <c r="I200" s="462"/>
    </row>
    <row r="201" spans="3:9" ht="54" hidden="1" customHeight="1" outlineLevel="1" x14ac:dyDescent="0.3">
      <c r="C201" s="258" t="str">
        <f>_xlfn.CONCAT(_xlfn.XLOOKUP("[S08_ActivityDataIssuesDetail]["&amp;ROW(B201)-ROW($B$156)&amp;"][AnnexIActivity]",Submission!$O:$O,Submission!$H:$N,""))</f>
        <v/>
      </c>
      <c r="D201" s="260"/>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1" t="str">
        <f>_xlfn.CONCAT(_xlfn.XLOOKUP("[S08_ActivityDataIssuesDetail]["&amp;ROW(B201)-ROW($B$156)&amp;"][NumberOfInstallationsConEst]",Submission!$O:$O,Submission!$H:$N,""))</f>
        <v/>
      </c>
      <c r="I201" s="462"/>
    </row>
    <row r="202" spans="3:9" ht="54" hidden="1" customHeight="1" outlineLevel="1" x14ac:dyDescent="0.3">
      <c r="C202" s="258" t="str">
        <f>_xlfn.CONCAT(_xlfn.XLOOKUP("[S08_ActivityDataIssuesDetail]["&amp;ROW(B202)-ROW($B$156)&amp;"][AnnexIActivity]",Submission!$O:$O,Submission!$H:$N,""))</f>
        <v/>
      </c>
      <c r="D202" s="260"/>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1" t="str">
        <f>_xlfn.CONCAT(_xlfn.XLOOKUP("[S08_ActivityDataIssuesDetail]["&amp;ROW(B202)-ROW($B$156)&amp;"][NumberOfInstallationsConEst]",Submission!$O:$O,Submission!$H:$N,""))</f>
        <v/>
      </c>
      <c r="I202" s="462"/>
    </row>
    <row r="203" spans="3:9" ht="54" hidden="1" customHeight="1" outlineLevel="1" x14ac:dyDescent="0.3">
      <c r="C203" s="258" t="str">
        <f>_xlfn.CONCAT(_xlfn.XLOOKUP("[S08_ActivityDataIssuesDetail]["&amp;ROW(B203)-ROW($B$156)&amp;"][AnnexIActivity]",Submission!$O:$O,Submission!$H:$N,""))</f>
        <v/>
      </c>
      <c r="D203" s="260"/>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1" t="str">
        <f>_xlfn.CONCAT(_xlfn.XLOOKUP("[S08_ActivityDataIssuesDetail]["&amp;ROW(B203)-ROW($B$156)&amp;"][NumberOfInstallationsConEst]",Submission!$O:$O,Submission!$H:$N,""))</f>
        <v/>
      </c>
      <c r="I203" s="462"/>
    </row>
    <row r="204" spans="3:9" ht="54" hidden="1" customHeight="1" outlineLevel="1" x14ac:dyDescent="0.3">
      <c r="C204" s="258" t="str">
        <f>_xlfn.CONCAT(_xlfn.XLOOKUP("[S08_ActivityDataIssuesDetail]["&amp;ROW(B204)-ROW($B$156)&amp;"][AnnexIActivity]",Submission!$O:$O,Submission!$H:$N,""))</f>
        <v/>
      </c>
      <c r="D204" s="260"/>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1" t="str">
        <f>_xlfn.CONCAT(_xlfn.XLOOKUP("[S08_ActivityDataIssuesDetail]["&amp;ROW(B204)-ROW($B$156)&amp;"][NumberOfInstallationsConEst]",Submission!$O:$O,Submission!$H:$N,""))</f>
        <v/>
      </c>
      <c r="I204" s="462"/>
    </row>
    <row r="205" spans="3:9" ht="54" hidden="1" customHeight="1" outlineLevel="1" x14ac:dyDescent="0.3">
      <c r="C205" s="258" t="str">
        <f>_xlfn.CONCAT(_xlfn.XLOOKUP("[S08_ActivityDataIssuesDetail]["&amp;ROW(B205)-ROW($B$156)&amp;"][AnnexIActivity]",Submission!$O:$O,Submission!$H:$N,""))</f>
        <v/>
      </c>
      <c r="D205" s="260"/>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1" t="str">
        <f>_xlfn.CONCAT(_xlfn.XLOOKUP("[S08_ActivityDataIssuesDetail]["&amp;ROW(B205)-ROW($B$156)&amp;"][NumberOfInstallationsConEst]",Submission!$O:$O,Submission!$H:$N,""))</f>
        <v/>
      </c>
      <c r="I205" s="462"/>
    </row>
    <row r="206" spans="3:9" ht="54" hidden="1" customHeight="1" outlineLevel="1" x14ac:dyDescent="0.3">
      <c r="C206" s="258" t="str">
        <f>_xlfn.CONCAT(_xlfn.XLOOKUP("[S08_ActivityDataIssuesDetail]["&amp;ROW(B206)-ROW($B$156)&amp;"][AnnexIActivity]",Submission!$O:$O,Submission!$H:$N,""))</f>
        <v/>
      </c>
      <c r="D206" s="260"/>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1" t="str">
        <f>_xlfn.CONCAT(_xlfn.XLOOKUP("[S08_ActivityDataIssuesDetail]["&amp;ROW(B206)-ROW($B$156)&amp;"][NumberOfInstallationsConEst]",Submission!$O:$O,Submission!$H:$N,""))</f>
        <v/>
      </c>
      <c r="I206" s="462"/>
    </row>
    <row r="207" spans="3:9" ht="54" hidden="1" customHeight="1" outlineLevel="1" x14ac:dyDescent="0.3">
      <c r="C207" s="258" t="str">
        <f>_xlfn.CONCAT(_xlfn.XLOOKUP("[S08_ActivityDataIssuesDetail]["&amp;ROW(B207)-ROW($B$156)&amp;"][AnnexIActivity]",Submission!$O:$O,Submission!$H:$N,""))</f>
        <v/>
      </c>
      <c r="D207" s="260"/>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1" t="str">
        <f>_xlfn.CONCAT(_xlfn.XLOOKUP("[S08_ActivityDataIssuesDetail]["&amp;ROW(B207)-ROW($B$156)&amp;"][NumberOfInstallationsConEst]",Submission!$O:$O,Submission!$H:$N,""))</f>
        <v/>
      </c>
      <c r="I207" s="462"/>
    </row>
    <row r="208" spans="3:9" ht="54" hidden="1" customHeight="1" outlineLevel="1" x14ac:dyDescent="0.3">
      <c r="C208" s="258" t="str">
        <f>_xlfn.CONCAT(_xlfn.XLOOKUP("[S08_ActivityDataIssuesDetail]["&amp;ROW(B208)-ROW($B$156)&amp;"][AnnexIActivity]",Submission!$O:$O,Submission!$H:$N,""))</f>
        <v/>
      </c>
      <c r="D208" s="260"/>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1" t="str">
        <f>_xlfn.CONCAT(_xlfn.XLOOKUP("[S08_ActivityDataIssuesDetail]["&amp;ROW(B208)-ROW($B$156)&amp;"][NumberOfInstallationsConEst]",Submission!$O:$O,Submission!$H:$N,""))</f>
        <v/>
      </c>
      <c r="I208" s="462"/>
    </row>
    <row r="209" spans="3:9" ht="54" hidden="1" customHeight="1" outlineLevel="1" x14ac:dyDescent="0.3">
      <c r="C209" s="258" t="str">
        <f>_xlfn.CONCAT(_xlfn.XLOOKUP("[S08_ActivityDataIssuesDetail]["&amp;ROW(B209)-ROW($B$156)&amp;"][AnnexIActivity]",Submission!$O:$O,Submission!$H:$N,""))</f>
        <v/>
      </c>
      <c r="D209" s="260"/>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1" t="str">
        <f>_xlfn.CONCAT(_xlfn.XLOOKUP("[S08_ActivityDataIssuesDetail]["&amp;ROW(B209)-ROW($B$156)&amp;"][NumberOfInstallationsConEst]",Submission!$O:$O,Submission!$H:$N,""))</f>
        <v/>
      </c>
      <c r="I209" s="462"/>
    </row>
    <row r="210" spans="3:9" ht="54" hidden="1" customHeight="1" outlineLevel="1" x14ac:dyDescent="0.3">
      <c r="C210" s="258" t="str">
        <f>_xlfn.CONCAT(_xlfn.XLOOKUP("[S08_ActivityDataIssuesDetail]["&amp;ROW(B210)-ROW($B$156)&amp;"][AnnexIActivity]",Submission!$O:$O,Submission!$H:$N,""))</f>
        <v/>
      </c>
      <c r="D210" s="260"/>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1" t="str">
        <f>_xlfn.CONCAT(_xlfn.XLOOKUP("[S08_ActivityDataIssuesDetail]["&amp;ROW(B210)-ROW($B$156)&amp;"][NumberOfInstallationsConEst]",Submission!$O:$O,Submission!$H:$N,""))</f>
        <v/>
      </c>
      <c r="I210" s="462"/>
    </row>
    <row r="211" spans="3:9" ht="54" hidden="1" customHeight="1" outlineLevel="1" x14ac:dyDescent="0.3">
      <c r="C211" s="258" t="str">
        <f>_xlfn.CONCAT(_xlfn.XLOOKUP("[S08_ActivityDataIssuesDetail]["&amp;ROW(B211)-ROW($B$156)&amp;"][AnnexIActivity]",Submission!$O:$O,Submission!$H:$N,""))</f>
        <v/>
      </c>
      <c r="D211" s="260"/>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1" t="str">
        <f>_xlfn.CONCAT(_xlfn.XLOOKUP("[S08_ActivityDataIssuesDetail]["&amp;ROW(B211)-ROW($B$156)&amp;"][NumberOfInstallationsConEst]",Submission!$O:$O,Submission!$H:$N,""))</f>
        <v/>
      </c>
      <c r="I211" s="462"/>
    </row>
    <row r="212" spans="3:9" ht="54" hidden="1" customHeight="1" outlineLevel="1" x14ac:dyDescent="0.3">
      <c r="C212" s="258" t="str">
        <f>_xlfn.CONCAT(_xlfn.XLOOKUP("[S08_ActivityDataIssuesDetail]["&amp;ROW(B212)-ROW($B$156)&amp;"][AnnexIActivity]",Submission!$O:$O,Submission!$H:$N,""))</f>
        <v/>
      </c>
      <c r="D212" s="260"/>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1" t="str">
        <f>_xlfn.CONCAT(_xlfn.XLOOKUP("[S08_ActivityDataIssuesDetail]["&amp;ROW(B212)-ROW($B$156)&amp;"][NumberOfInstallationsConEst]",Submission!$O:$O,Submission!$H:$N,""))</f>
        <v/>
      </c>
      <c r="I212" s="462"/>
    </row>
    <row r="213" spans="3:9" ht="54" hidden="1" customHeight="1" outlineLevel="1" x14ac:dyDescent="0.3">
      <c r="C213" s="258" t="str">
        <f>_xlfn.CONCAT(_xlfn.XLOOKUP("[S08_ActivityDataIssuesDetail]["&amp;ROW(B213)-ROW($B$156)&amp;"][AnnexIActivity]",Submission!$O:$O,Submission!$H:$N,""))</f>
        <v/>
      </c>
      <c r="D213" s="260"/>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1" t="str">
        <f>_xlfn.CONCAT(_xlfn.XLOOKUP("[S08_ActivityDataIssuesDetail]["&amp;ROW(B213)-ROW($B$156)&amp;"][NumberOfInstallationsConEst]",Submission!$O:$O,Submission!$H:$N,""))</f>
        <v/>
      </c>
      <c r="I213" s="462"/>
    </row>
    <row r="214" spans="3:9" ht="54" hidden="1" customHeight="1" outlineLevel="1" x14ac:dyDescent="0.3">
      <c r="C214" s="258" t="str">
        <f>_xlfn.CONCAT(_xlfn.XLOOKUP("[S08_ActivityDataIssuesDetail]["&amp;ROW(B214)-ROW($B$156)&amp;"][AnnexIActivity]",Submission!$O:$O,Submission!$H:$N,""))</f>
        <v/>
      </c>
      <c r="D214" s="260"/>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1" t="str">
        <f>_xlfn.CONCAT(_xlfn.XLOOKUP("[S08_ActivityDataIssuesDetail]["&amp;ROW(B214)-ROW($B$156)&amp;"][NumberOfInstallationsConEst]",Submission!$O:$O,Submission!$H:$N,""))</f>
        <v/>
      </c>
      <c r="I214" s="462"/>
    </row>
    <row r="215" spans="3:9" ht="54" hidden="1" customHeight="1" outlineLevel="1" x14ac:dyDescent="0.3">
      <c r="C215" s="258" t="str">
        <f>_xlfn.CONCAT(_xlfn.XLOOKUP("[S08_ActivityDataIssuesDetail]["&amp;ROW(B215)-ROW($B$156)&amp;"][AnnexIActivity]",Submission!$O:$O,Submission!$H:$N,""))</f>
        <v/>
      </c>
      <c r="D215" s="260"/>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1" t="str">
        <f>_xlfn.CONCAT(_xlfn.XLOOKUP("[S08_ActivityDataIssuesDetail]["&amp;ROW(B215)-ROW($B$156)&amp;"][NumberOfInstallationsConEst]",Submission!$O:$O,Submission!$H:$N,""))</f>
        <v/>
      </c>
      <c r="I215" s="462"/>
    </row>
    <row r="216" spans="3:9" ht="54" hidden="1" customHeight="1" outlineLevel="1" x14ac:dyDescent="0.3">
      <c r="C216" s="258" t="str">
        <f>_xlfn.CONCAT(_xlfn.XLOOKUP("[S08_ActivityDataIssuesDetail]["&amp;ROW(B216)-ROW($B$156)&amp;"][AnnexIActivity]",Submission!$O:$O,Submission!$H:$N,""))</f>
        <v/>
      </c>
      <c r="D216" s="260"/>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1" t="str">
        <f>_xlfn.CONCAT(_xlfn.XLOOKUP("[S08_ActivityDataIssuesDetail]["&amp;ROW(B216)-ROW($B$156)&amp;"][NumberOfInstallationsConEst]",Submission!$O:$O,Submission!$H:$N,""))</f>
        <v/>
      </c>
      <c r="I216" s="462"/>
    </row>
    <row r="217" spans="3:9" ht="54" hidden="1" customHeight="1" outlineLevel="1" x14ac:dyDescent="0.3">
      <c r="C217" s="258" t="str">
        <f>_xlfn.CONCAT(_xlfn.XLOOKUP("[S08_ActivityDataIssuesDetail]["&amp;ROW(B217)-ROW($B$156)&amp;"][AnnexIActivity]",Submission!$O:$O,Submission!$H:$N,""))</f>
        <v/>
      </c>
      <c r="D217" s="260"/>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1" t="str">
        <f>_xlfn.CONCAT(_xlfn.XLOOKUP("[S08_ActivityDataIssuesDetail]["&amp;ROW(B217)-ROW($B$156)&amp;"][NumberOfInstallationsConEst]",Submission!$O:$O,Submission!$H:$N,""))</f>
        <v/>
      </c>
      <c r="I217" s="462"/>
    </row>
    <row r="218" spans="3:9" ht="54" hidden="1" customHeight="1" outlineLevel="1" x14ac:dyDescent="0.3">
      <c r="C218" s="258" t="str">
        <f>_xlfn.CONCAT(_xlfn.XLOOKUP("[S08_ActivityDataIssuesDetail]["&amp;ROW(B218)-ROW($B$156)&amp;"][AnnexIActivity]",Submission!$O:$O,Submission!$H:$N,""))</f>
        <v/>
      </c>
      <c r="D218" s="260"/>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1" t="str">
        <f>_xlfn.CONCAT(_xlfn.XLOOKUP("[S08_ActivityDataIssuesDetail]["&amp;ROW(B218)-ROW($B$156)&amp;"][NumberOfInstallationsConEst]",Submission!$O:$O,Submission!$H:$N,""))</f>
        <v/>
      </c>
      <c r="I218" s="462"/>
    </row>
    <row r="219" spans="3:9" ht="54" hidden="1" customHeight="1" outlineLevel="1" x14ac:dyDescent="0.3">
      <c r="C219" s="258" t="str">
        <f>_xlfn.CONCAT(_xlfn.XLOOKUP("[S08_ActivityDataIssuesDetail]["&amp;ROW(B219)-ROW($B$156)&amp;"][AnnexIActivity]",Submission!$O:$O,Submission!$H:$N,""))</f>
        <v/>
      </c>
      <c r="D219" s="260"/>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1" t="str">
        <f>_xlfn.CONCAT(_xlfn.XLOOKUP("[S08_ActivityDataIssuesDetail]["&amp;ROW(B219)-ROW($B$156)&amp;"][NumberOfInstallationsConEst]",Submission!$O:$O,Submission!$H:$N,""))</f>
        <v/>
      </c>
      <c r="I219" s="462"/>
    </row>
    <row r="220" spans="3:9" ht="54" hidden="1" customHeight="1" outlineLevel="1" x14ac:dyDescent="0.3">
      <c r="C220" s="258" t="str">
        <f>_xlfn.CONCAT(_xlfn.XLOOKUP("[S08_ActivityDataIssuesDetail]["&amp;ROW(B220)-ROW($B$156)&amp;"][AnnexIActivity]",Submission!$O:$O,Submission!$H:$N,""))</f>
        <v/>
      </c>
      <c r="D220" s="260"/>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1" t="str">
        <f>_xlfn.CONCAT(_xlfn.XLOOKUP("[S08_ActivityDataIssuesDetail]["&amp;ROW(B220)-ROW($B$156)&amp;"][NumberOfInstallationsConEst]",Submission!$O:$O,Submission!$H:$N,""))</f>
        <v/>
      </c>
      <c r="I220" s="462"/>
    </row>
    <row r="221" spans="3:9" ht="54" hidden="1" customHeight="1" outlineLevel="1" x14ac:dyDescent="0.3">
      <c r="C221" s="258" t="str">
        <f>_xlfn.CONCAT(_xlfn.XLOOKUP("[S08_ActivityDataIssuesDetail]["&amp;ROW(B221)-ROW($B$156)&amp;"][AnnexIActivity]",Submission!$O:$O,Submission!$H:$N,""))</f>
        <v/>
      </c>
      <c r="D221" s="260"/>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1" t="str">
        <f>_xlfn.CONCAT(_xlfn.XLOOKUP("[S08_ActivityDataIssuesDetail]["&amp;ROW(B221)-ROW($B$156)&amp;"][NumberOfInstallationsConEst]",Submission!$O:$O,Submission!$H:$N,""))</f>
        <v/>
      </c>
      <c r="I221" s="462"/>
    </row>
    <row r="222" spans="3:9" ht="54" hidden="1" customHeight="1" outlineLevel="1" x14ac:dyDescent="0.3">
      <c r="C222" s="258" t="str">
        <f>_xlfn.CONCAT(_xlfn.XLOOKUP("[S08_ActivityDataIssuesDetail]["&amp;ROW(B222)-ROW($B$156)&amp;"][AnnexIActivity]",Submission!$O:$O,Submission!$H:$N,""))</f>
        <v/>
      </c>
      <c r="D222" s="260"/>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1" t="str">
        <f>_xlfn.CONCAT(_xlfn.XLOOKUP("[S08_ActivityDataIssuesDetail]["&amp;ROW(B222)-ROW($B$156)&amp;"][NumberOfInstallationsConEst]",Submission!$O:$O,Submission!$H:$N,""))</f>
        <v/>
      </c>
      <c r="I222" s="462"/>
    </row>
    <row r="223" spans="3:9" ht="54" hidden="1" customHeight="1" outlineLevel="1" x14ac:dyDescent="0.3">
      <c r="C223" s="258" t="str">
        <f>_xlfn.CONCAT(_xlfn.XLOOKUP("[S08_ActivityDataIssuesDetail]["&amp;ROW(B223)-ROW($B$156)&amp;"][AnnexIActivity]",Submission!$O:$O,Submission!$H:$N,""))</f>
        <v/>
      </c>
      <c r="D223" s="260"/>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1" t="str">
        <f>_xlfn.CONCAT(_xlfn.XLOOKUP("[S08_ActivityDataIssuesDetail]["&amp;ROW(B223)-ROW($B$156)&amp;"][NumberOfInstallationsConEst]",Submission!$O:$O,Submission!$H:$N,""))</f>
        <v/>
      </c>
      <c r="I223" s="462"/>
    </row>
    <row r="224" spans="3:9" ht="54" hidden="1" customHeight="1" outlineLevel="1" x14ac:dyDescent="0.3">
      <c r="C224" s="258" t="str">
        <f>_xlfn.CONCAT(_xlfn.XLOOKUP("[S08_ActivityDataIssuesDetail]["&amp;ROW(B224)-ROW($B$156)&amp;"][AnnexIActivity]",Submission!$O:$O,Submission!$H:$N,""))</f>
        <v/>
      </c>
      <c r="D224" s="260"/>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1" t="str">
        <f>_xlfn.CONCAT(_xlfn.XLOOKUP("[S08_ActivityDataIssuesDetail]["&amp;ROW(B224)-ROW($B$156)&amp;"][NumberOfInstallationsConEst]",Submission!$O:$O,Submission!$H:$N,""))</f>
        <v/>
      </c>
      <c r="I224" s="462"/>
    </row>
    <row r="225" spans="1:9" ht="54" hidden="1" customHeight="1" outlineLevel="1" x14ac:dyDescent="0.3">
      <c r="C225" s="258" t="str">
        <f>_xlfn.CONCAT(_xlfn.XLOOKUP("[S08_ActivityDataIssuesDetail]["&amp;ROW(B225)-ROW($B$156)&amp;"][AnnexIActivity]",Submission!$O:$O,Submission!$H:$N,""))</f>
        <v/>
      </c>
      <c r="D225" s="260"/>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1" t="str">
        <f>_xlfn.CONCAT(_xlfn.XLOOKUP("[S08_ActivityDataIssuesDetail]["&amp;ROW(B225)-ROW($B$156)&amp;"][NumberOfInstallationsConEst]",Submission!$O:$O,Submission!$H:$N,""))</f>
        <v/>
      </c>
      <c r="I225" s="462"/>
    </row>
    <row r="226" spans="1:9" ht="54" hidden="1" customHeight="1" outlineLevel="1" x14ac:dyDescent="0.3">
      <c r="C226" s="258" t="str">
        <f>_xlfn.CONCAT(_xlfn.XLOOKUP("[S08_ActivityDataIssuesDetail]["&amp;ROW(B226)-ROW($B$156)&amp;"][AnnexIActivity]",Submission!$O:$O,Submission!$H:$N,""))</f>
        <v/>
      </c>
      <c r="D226" s="260"/>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1" t="str">
        <f>_xlfn.CONCAT(_xlfn.XLOOKUP("[S08_ActivityDataIssuesDetail]["&amp;ROW(B226)-ROW($B$156)&amp;"][NumberOfInstallationsConEst]",Submission!$O:$O,Submission!$H:$N,""))</f>
        <v/>
      </c>
      <c r="I226" s="462"/>
    </row>
    <row r="227" spans="1:9" ht="54" hidden="1" customHeight="1" outlineLevel="1" x14ac:dyDescent="0.3">
      <c r="C227" s="258" t="str">
        <f>_xlfn.CONCAT(_xlfn.XLOOKUP("[S08_ActivityDataIssuesDetail]["&amp;ROW(B227)-ROW($B$156)&amp;"][AnnexIActivity]",Submission!$O:$O,Submission!$H:$N,""))</f>
        <v/>
      </c>
      <c r="D227" s="260"/>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1" t="str">
        <f>_xlfn.CONCAT(_xlfn.XLOOKUP("[S08_ActivityDataIssuesDetail]["&amp;ROW(B227)-ROW($B$156)&amp;"][NumberOfInstallationsConEst]",Submission!$O:$O,Submission!$H:$N,""))</f>
        <v/>
      </c>
      <c r="I227" s="462"/>
    </row>
    <row r="228" spans="1:9" ht="54" hidden="1" customHeight="1" outlineLevel="1" x14ac:dyDescent="0.3">
      <c r="C228" s="258" t="str">
        <f>_xlfn.CONCAT(_xlfn.XLOOKUP("[S08_ActivityDataIssuesDetail]["&amp;ROW(B228)-ROW($B$156)&amp;"][AnnexIActivity]",Submission!$O:$O,Submission!$H:$N,""))</f>
        <v/>
      </c>
      <c r="D228" s="260"/>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1" t="str">
        <f>_xlfn.CONCAT(_xlfn.XLOOKUP("[S08_ActivityDataIssuesDetail]["&amp;ROW(B228)-ROW($B$156)&amp;"][NumberOfInstallationsConEst]",Submission!$O:$O,Submission!$H:$N,""))</f>
        <v/>
      </c>
      <c r="I228" s="462"/>
    </row>
    <row r="229" spans="1:9" ht="54" hidden="1" customHeight="1" outlineLevel="1" x14ac:dyDescent="0.3">
      <c r="C229" s="258" t="str">
        <f>_xlfn.CONCAT(_xlfn.XLOOKUP("[S08_ActivityDataIssuesDetail]["&amp;ROW(B229)-ROW($B$156)&amp;"][AnnexIActivity]",Submission!$O:$O,Submission!$H:$N,""))</f>
        <v/>
      </c>
      <c r="D229" s="260"/>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1" t="str">
        <f>_xlfn.CONCAT(_xlfn.XLOOKUP("[S08_ActivityDataIssuesDetail]["&amp;ROW(B229)-ROW($B$156)&amp;"][NumberOfInstallationsConEst]",Submission!$O:$O,Submission!$H:$N,""))</f>
        <v/>
      </c>
      <c r="I229" s="462"/>
    </row>
    <row r="230" spans="1:9" ht="54" hidden="1" customHeight="1" outlineLevel="1" x14ac:dyDescent="0.3">
      <c r="C230" s="258" t="str">
        <f>_xlfn.CONCAT(_xlfn.XLOOKUP("[S08_ActivityDataIssuesDetail]["&amp;ROW(B230)-ROW($B$156)&amp;"][AnnexIActivity]",Submission!$O:$O,Submission!$H:$N,""))</f>
        <v/>
      </c>
      <c r="D230" s="260"/>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1" t="str">
        <f>_xlfn.CONCAT(_xlfn.XLOOKUP("[S08_ActivityDataIssuesDetail]["&amp;ROW(B230)-ROW($B$156)&amp;"][NumberOfInstallationsConEst]",Submission!$O:$O,Submission!$H:$N,""))</f>
        <v/>
      </c>
      <c r="I230" s="462"/>
    </row>
    <row r="231" spans="1:9" ht="54" hidden="1" customHeight="1" outlineLevel="1" x14ac:dyDescent="0.3">
      <c r="C231" s="258" t="str">
        <f>_xlfn.CONCAT(_xlfn.XLOOKUP("[S08_ActivityDataIssuesDetail]["&amp;ROW(B231)-ROW($B$156)&amp;"][AnnexIActivity]",Submission!$O:$O,Submission!$H:$N,""))</f>
        <v/>
      </c>
      <c r="D231" s="260"/>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1" t="str">
        <f>_xlfn.CONCAT(_xlfn.XLOOKUP("[S08_ActivityDataIssuesDetail]["&amp;ROW(B231)-ROW($B$156)&amp;"][NumberOfInstallationsConEst]",Submission!$O:$O,Submission!$H:$N,""))</f>
        <v/>
      </c>
      <c r="I231" s="462"/>
    </row>
    <row r="232" spans="1:9" ht="54" hidden="1" customHeight="1" outlineLevel="1" x14ac:dyDescent="0.3">
      <c r="C232" s="258" t="str">
        <f>_xlfn.CONCAT(_xlfn.XLOOKUP("[S08_ActivityDataIssuesDetail]["&amp;ROW(B232)-ROW($B$156)&amp;"][AnnexIActivity]",Submission!$O:$O,Submission!$H:$N,""))</f>
        <v/>
      </c>
      <c r="D232" s="260"/>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1" t="str">
        <f>_xlfn.CONCAT(_xlfn.XLOOKUP("[S08_ActivityDataIssuesDetail]["&amp;ROW(B232)-ROW($B$156)&amp;"][NumberOfInstallationsConEst]",Submission!$O:$O,Submission!$H:$N,""))</f>
        <v/>
      </c>
      <c r="I232" s="462"/>
    </row>
    <row r="233" spans="1:9" ht="54" hidden="1" customHeight="1" outlineLevel="1" x14ac:dyDescent="0.3">
      <c r="C233" s="258" t="str">
        <f>_xlfn.CONCAT(_xlfn.XLOOKUP("[S08_ActivityDataIssuesDetail]["&amp;ROW(B233)-ROW($B$156)&amp;"][AnnexIActivity]",Submission!$O:$O,Submission!$H:$N,""))</f>
        <v/>
      </c>
      <c r="D233" s="260"/>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1" t="str">
        <f>_xlfn.CONCAT(_xlfn.XLOOKUP("[S08_ActivityDataIssuesDetail]["&amp;ROW(B233)-ROW($B$156)&amp;"][NumberOfInstallationsConEst]",Submission!$O:$O,Submission!$H:$N,""))</f>
        <v/>
      </c>
      <c r="I233" s="462"/>
    </row>
    <row r="234" spans="1:9" ht="54" hidden="1" customHeight="1" outlineLevel="1" x14ac:dyDescent="0.3">
      <c r="C234" s="258" t="str">
        <f>_xlfn.CONCAT(_xlfn.XLOOKUP("[S08_ActivityDataIssuesDetail]["&amp;ROW(B234)-ROW($B$156)&amp;"][AnnexIActivity]",Submission!$O:$O,Submission!$H:$N,""))</f>
        <v/>
      </c>
      <c r="D234" s="260"/>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1" t="str">
        <f>_xlfn.CONCAT(_xlfn.XLOOKUP("[S08_ActivityDataIssuesDetail]["&amp;ROW(B234)-ROW($B$156)&amp;"][NumberOfInstallationsConEst]",Submission!$O:$O,Submission!$H:$N,""))</f>
        <v/>
      </c>
      <c r="I234" s="462"/>
    </row>
    <row r="235" spans="1:9" ht="54" hidden="1" customHeight="1" outlineLevel="1" x14ac:dyDescent="0.3">
      <c r="C235" s="258" t="str">
        <f>_xlfn.CONCAT(_xlfn.XLOOKUP("[S08_ActivityDataIssuesDetail]["&amp;ROW(B235)-ROW($B$156)&amp;"][AnnexIActivity]",Submission!$O:$O,Submission!$H:$N,""))</f>
        <v/>
      </c>
      <c r="D235" s="260"/>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1" t="str">
        <f>_xlfn.CONCAT(_xlfn.XLOOKUP("[S08_ActivityDataIssuesDetail]["&amp;ROW(B235)-ROW($B$156)&amp;"][NumberOfInstallationsConEst]",Submission!$O:$O,Submission!$H:$N,""))</f>
        <v/>
      </c>
      <c r="I235" s="462"/>
    </row>
    <row r="236" spans="1:9" ht="54" hidden="1" customHeight="1" outlineLevel="1" x14ac:dyDescent="0.3">
      <c r="C236" s="258" t="str">
        <f>_xlfn.CONCAT(_xlfn.XLOOKUP("[S08_ActivityDataIssuesDetail]["&amp;ROW(B236)-ROW($B$156)&amp;"][AnnexIActivity]",Submission!$O:$O,Submission!$H:$N,""))</f>
        <v/>
      </c>
      <c r="D236" s="260"/>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1" t="str">
        <f>_xlfn.CONCAT(_xlfn.XLOOKUP("[S08_ActivityDataIssuesDetail]["&amp;ROW(B236)-ROW($B$156)&amp;"][NumberOfInstallationsConEst]",Submission!$O:$O,Submission!$H:$N,""))</f>
        <v/>
      </c>
      <c r="I236" s="462"/>
    </row>
    <row r="237" spans="1:9" collapsed="1" x14ac:dyDescent="0.3">
      <c r="B237" s="26" t="s">
        <v>1000</v>
      </c>
    </row>
    <row r="238" spans="1:9" ht="27.6" customHeight="1" x14ac:dyDescent="0.3">
      <c r="C238" s="466" t="s">
        <v>1205</v>
      </c>
      <c r="D238" s="466"/>
      <c r="E238" s="466"/>
      <c r="F238" s="466"/>
      <c r="G238" s="466"/>
      <c r="H238" s="466"/>
      <c r="I238" s="466"/>
    </row>
    <row r="240" spans="1:9" ht="18" customHeight="1" x14ac:dyDescent="0.3">
      <c r="A240" s="12" t="s">
        <v>518</v>
      </c>
      <c r="B240" s="338" t="s">
        <v>1206</v>
      </c>
      <c r="C240" s="308"/>
      <c r="D240" s="308"/>
      <c r="E240" s="308"/>
      <c r="F240" s="308"/>
      <c r="G240" s="308"/>
      <c r="H240" s="345"/>
      <c r="I240" s="41" t="str">
        <f>_xlfn.CONCAT(_xlfn.XLOOKUP("[ActivityReportRejected][0][ActivityReportRejected]",Submission!$O:$O,Submission!$H:$N,""))</f>
        <v>No</v>
      </c>
    </row>
    <row r="241" spans="1:9" ht="17.399999999999999" customHeight="1" x14ac:dyDescent="0.3">
      <c r="B241" s="467" t="s">
        <v>1207</v>
      </c>
      <c r="C241" s="467"/>
      <c r="D241" s="467"/>
      <c r="E241" s="467"/>
      <c r="F241" s="467"/>
      <c r="G241" s="467"/>
      <c r="H241" s="467"/>
      <c r="I241" s="467"/>
    </row>
    <row r="242" spans="1:9" x14ac:dyDescent="0.3">
      <c r="C242" s="496" t="s">
        <v>519</v>
      </c>
      <c r="D242" s="497"/>
      <c r="E242" s="497"/>
      <c r="F242" s="497"/>
      <c r="G242" s="497"/>
      <c r="H242" s="497"/>
      <c r="I242" s="498"/>
    </row>
    <row r="243" spans="1:9" s="58" customFormat="1" ht="48" customHeight="1" x14ac:dyDescent="0.3">
      <c r="A243" s="75"/>
      <c r="C243" s="249" t="s">
        <v>1208</v>
      </c>
      <c r="D243" s="272"/>
      <c r="E243" s="273"/>
      <c r="F243" s="351" t="str">
        <f>_xlfn.CONCAT(_xlfn.XLOOKUP("[S08_ActivityReportRejectedDetail][1][NumberActivityReportRejected]",Submission!$O:$O,Submission!$H:$N,""))</f>
        <v/>
      </c>
      <c r="G243" s="361"/>
      <c r="H243" s="490"/>
      <c r="I243" s="491"/>
    </row>
    <row r="244" spans="1:9" s="58" customFormat="1" ht="48" customHeight="1" x14ac:dyDescent="0.3">
      <c r="A244" s="75"/>
      <c r="C244" s="249" t="s">
        <v>1209</v>
      </c>
      <c r="D244" s="272"/>
      <c r="E244" s="273"/>
      <c r="F244" s="351" t="str">
        <f>_xlfn.CONCAT(_xlfn.XLOOKUP("[S08_ActivityReportRejectedDetail][2][NumberActivityReportRejected]",Submission!$O:$O,Submission!$H:$N,""))</f>
        <v/>
      </c>
      <c r="G244" s="361"/>
      <c r="H244" s="351" t="str">
        <f>_xlfn.CONCAT(_xlfn.XLOOKUP("[S08_ActivityReportRejectedDetail][2][ReasonForRejection]",Submission!$O:$O,Submission!$H:$N,""))</f>
        <v/>
      </c>
      <c r="I244" s="361"/>
    </row>
    <row r="245" spans="1:9" s="58" customFormat="1" ht="48" customHeight="1" x14ac:dyDescent="0.3">
      <c r="A245" s="75"/>
      <c r="C245" s="249" t="s">
        <v>1210</v>
      </c>
      <c r="D245" s="272"/>
      <c r="E245" s="273"/>
      <c r="F245" s="258" t="str">
        <f>_xlfn.CONCAT(_xlfn.XLOOKUP("[S08_ActivityReportRejectedDetail][3][ActionsTaken]",Submission!$O:$O,Submission!$H:$N,""))</f>
        <v/>
      </c>
      <c r="G245" s="353"/>
      <c r="H245" s="353"/>
      <c r="I245" s="260"/>
    </row>
    <row r="246" spans="1:9" s="58" customFormat="1" ht="48" customHeight="1" x14ac:dyDescent="0.3">
      <c r="A246" s="75"/>
      <c r="C246" s="249" t="s">
        <v>1211</v>
      </c>
      <c r="D246" s="272"/>
      <c r="E246" s="273"/>
      <c r="F246" s="258" t="str">
        <f>_xlfn.CONCAT(_xlfn.XLOOKUP("[S08_ActivityReportRejectedDetail][4][ActionsTaken]",Submission!$O:$O,Submission!$H:$N,""))</f>
        <v/>
      </c>
      <c r="G246" s="353"/>
      <c r="H246" s="353"/>
      <c r="I246" s="260"/>
    </row>
    <row r="248" spans="1:9" ht="17.399999999999999" customHeight="1" x14ac:dyDescent="0.3">
      <c r="A248" s="12" t="s">
        <v>521</v>
      </c>
      <c r="B248" s="338" t="s">
        <v>1212</v>
      </c>
      <c r="C248" s="308"/>
      <c r="D248" s="308"/>
      <c r="E248" s="308"/>
      <c r="F248" s="308"/>
      <c r="G248" s="308"/>
      <c r="H248" s="345"/>
      <c r="I248" s="41" t="str">
        <f>_xlfn.CONCAT(_xlfn.XLOOKUP("[ActivityLevelVisitsWaived][0][ActivityLevelVisitsWaived]",Submission!$O:$O,Submission!$H:$N,""))</f>
        <v>No</v>
      </c>
    </row>
    <row r="249" spans="1:9" ht="16.95" customHeight="1" x14ac:dyDescent="0.3">
      <c r="B249" s="467" t="s">
        <v>1213</v>
      </c>
      <c r="C249" s="467"/>
      <c r="D249" s="467"/>
      <c r="E249" s="467"/>
      <c r="F249" s="467"/>
      <c r="G249" s="467"/>
      <c r="H249" s="467"/>
      <c r="I249" s="467"/>
    </row>
    <row r="250" spans="1:9" x14ac:dyDescent="0.3">
      <c r="C250" s="435" t="s">
        <v>1214</v>
      </c>
      <c r="D250" s="436"/>
      <c r="E250" s="436"/>
      <c r="F250" s="437"/>
      <c r="G250" s="435" t="s">
        <v>1045</v>
      </c>
      <c r="H250" s="436"/>
      <c r="I250" s="437"/>
    </row>
    <row r="251" spans="1:9" s="58" customFormat="1" ht="20.399999999999999" customHeight="1" x14ac:dyDescent="0.3">
      <c r="A251" s="75"/>
      <c r="C251" s="468" t="s">
        <v>2207</v>
      </c>
      <c r="D251" s="469"/>
      <c r="E251" s="469"/>
      <c r="F251" s="470"/>
      <c r="G251" s="461" t="str">
        <f>_xlfn.CONCAT(_xlfn.XLOOKUP("[S08_ActivityLevelVisitsWaivedDetail][1][NumberOfInstallations]",Submission!$O:$O,Submission!$H:$N,""))</f>
        <v/>
      </c>
      <c r="H251" s="465"/>
      <c r="I251" s="462"/>
    </row>
    <row r="252" spans="1:9" s="58" customFormat="1" ht="20.399999999999999" customHeight="1" x14ac:dyDescent="0.3">
      <c r="A252" s="75"/>
      <c r="C252" s="468" t="s">
        <v>2208</v>
      </c>
      <c r="D252" s="469"/>
      <c r="E252" s="469"/>
      <c r="F252" s="470"/>
      <c r="G252" s="461" t="str">
        <f>_xlfn.CONCAT(_xlfn.XLOOKUP("[S08_ActivityLevelVisitsWaivedDetail][2][NumberOfInstallations]",Submission!$O:$O,Submission!$H:$N,""))</f>
        <v/>
      </c>
      <c r="H252" s="465"/>
      <c r="I252" s="462"/>
    </row>
    <row r="253" spans="1:9" s="58" customFormat="1" ht="20.399999999999999" customHeight="1" x14ac:dyDescent="0.3">
      <c r="A253" s="75"/>
      <c r="C253" s="468" t="s">
        <v>2209</v>
      </c>
      <c r="D253" s="469"/>
      <c r="E253" s="469"/>
      <c r="F253" s="470"/>
      <c r="G253" s="461" t="str">
        <f>_xlfn.CONCAT(_xlfn.XLOOKUP("[S08_ActivityLevelVisitsWaivedDetail][3][NumberOfInstallations]",Submission!$O:$O,Submission!$H:$N,""))</f>
        <v/>
      </c>
      <c r="H253" s="465"/>
      <c r="I253" s="462"/>
    </row>
    <row r="254" spans="1:9" s="58" customFormat="1" ht="20.399999999999999" customHeight="1" x14ac:dyDescent="0.3">
      <c r="A254" s="75"/>
      <c r="C254" s="468" t="s">
        <v>2210</v>
      </c>
      <c r="D254" s="469"/>
      <c r="E254" s="469"/>
      <c r="F254" s="470"/>
      <c r="G254" s="461" t="str">
        <f>_xlfn.CONCAT(_xlfn.XLOOKUP("[S08_ActivityLevelVisitsWaivedDetail][4][NumberOfInstallations]",Submission!$O:$O,Submission!$H:$N,""))</f>
        <v/>
      </c>
      <c r="H254" s="465"/>
      <c r="I254" s="462"/>
    </row>
    <row r="255" spans="1:9" s="58" customFormat="1" ht="20.399999999999999" customHeight="1" x14ac:dyDescent="0.3">
      <c r="A255" s="75"/>
      <c r="C255" s="468" t="s">
        <v>2211</v>
      </c>
      <c r="D255" s="469"/>
      <c r="E255" s="469"/>
      <c r="F255" s="470"/>
      <c r="G255" s="461" t="str">
        <f>_xlfn.CONCAT(_xlfn.XLOOKUP("[S08_ActivityLevelVisitsWaivedDetail][5][NumberOfInstallations]",Submission!$O:$O,Submission!$H:$N,""))</f>
        <v/>
      </c>
      <c r="H255" s="465"/>
      <c r="I255" s="462"/>
    </row>
    <row r="256" spans="1:9" x14ac:dyDescent="0.3">
      <c r="C256" s="466" t="s">
        <v>1215</v>
      </c>
      <c r="D256" s="466"/>
      <c r="E256" s="466"/>
      <c r="F256" s="466"/>
      <c r="G256" s="466"/>
      <c r="H256" s="466"/>
      <c r="I256" s="466"/>
    </row>
    <row r="258" spans="1:9" ht="31.2" customHeight="1" x14ac:dyDescent="0.3">
      <c r="A258" s="12" t="s">
        <v>528</v>
      </c>
      <c r="B258" s="338" t="s">
        <v>1216</v>
      </c>
      <c r="C258" s="308"/>
      <c r="D258" s="308"/>
      <c r="E258" s="308"/>
      <c r="F258" s="308"/>
      <c r="G258" s="308"/>
      <c r="H258" s="345"/>
      <c r="I258" s="41" t="str">
        <f>_xlfn.CONCAT(_xlfn.XLOOKUP("[VirtualVisitsActivityLevel][0][VirtualVisitsActivityLevel]",Submission!$O:$O,Submission!$H:$N,""))</f>
        <v>No</v>
      </c>
    </row>
    <row r="259" spans="1:9" ht="15.9" customHeight="1" x14ac:dyDescent="0.3">
      <c r="B259" s="338" t="s">
        <v>1070</v>
      </c>
      <c r="C259" s="308"/>
      <c r="D259" s="308"/>
      <c r="E259" s="308"/>
      <c r="F259" s="308"/>
      <c r="G259" s="308"/>
      <c r="H259" s="308"/>
      <c r="I259" s="308"/>
    </row>
    <row r="260" spans="1:9" ht="15.9" customHeight="1" x14ac:dyDescent="0.3">
      <c r="B260" s="15" t="s">
        <v>8</v>
      </c>
      <c r="C260" s="339" t="s">
        <v>1217</v>
      </c>
      <c r="D260" s="339"/>
      <c r="E260" s="339"/>
      <c r="F260" s="339"/>
      <c r="G260" s="339"/>
      <c r="H260" s="339"/>
      <c r="I260" s="339"/>
    </row>
    <row r="261" spans="1:9" ht="15.9" customHeight="1" x14ac:dyDescent="0.3">
      <c r="B261" s="15" t="s">
        <v>8</v>
      </c>
      <c r="C261" s="339" t="s">
        <v>1218</v>
      </c>
      <c r="D261" s="339"/>
      <c r="E261" s="339"/>
      <c r="F261" s="339"/>
      <c r="G261" s="339"/>
      <c r="H261" s="339"/>
      <c r="I261" s="339"/>
    </row>
    <row r="262" spans="1:9" ht="15.9" customHeight="1" x14ac:dyDescent="0.3">
      <c r="B262" s="15" t="s">
        <v>8</v>
      </c>
      <c r="C262" s="327" t="s">
        <v>1073</v>
      </c>
      <c r="D262" s="327"/>
      <c r="E262" s="327"/>
      <c r="F262" s="327"/>
      <c r="G262" s="327"/>
      <c r="H262" s="327"/>
      <c r="I262" s="327"/>
    </row>
    <row r="263" spans="1:9" ht="28.95" customHeight="1" x14ac:dyDescent="0.3">
      <c r="B263" s="11"/>
      <c r="C263" s="42" t="s">
        <v>1074</v>
      </c>
      <c r="D263" s="314" t="s">
        <v>1075</v>
      </c>
      <c r="E263" s="334"/>
      <c r="F263" s="314" t="s">
        <v>1219</v>
      </c>
      <c r="G263" s="334"/>
      <c r="H263" s="314" t="s">
        <v>1220</v>
      </c>
      <c r="I263" s="334"/>
    </row>
    <row r="264" spans="1:9" ht="27.6" customHeight="1" x14ac:dyDescent="0.3">
      <c r="B264" s="11"/>
      <c r="C264" s="91" t="str">
        <f>_xlfn.CONCAT(_xlfn.XLOOKUP("[S08_VirtualVisitsActivityLevelDetail][1][TypeForceMajeur]",Submission!$O:$O,Submission!$H:$N,""))</f>
        <v/>
      </c>
      <c r="D264" s="335" t="str">
        <f>_xlfn.CONCAT(_xlfn.XLOOKUP("[S08_VirtualVisitsActivityLevelDetail][1][NumberOfInstallationsVV]",Submission!$O:$O,Submission!$H:$N,""))</f>
        <v/>
      </c>
      <c r="E264" s="337"/>
      <c r="F264" s="419" t="str">
        <f>_xlfn.CONCAT(_xlfn.XLOOKUP("[S08_VirtualVisitsActivityLevelDetail][1][AuthorityApproval]",Submission!$O:$O,Submission!$H:$N,""))</f>
        <v/>
      </c>
      <c r="G264" s="421"/>
      <c r="H264" s="419" t="str">
        <f>_xlfn.CONCAT(_xlfn.XLOOKUP("[S08_VirtualVisitsActivityLevelDetail][1][ConfirmationConditionsMet]",Submission!$O:$O,Submission!$H:$N,""))</f>
        <v/>
      </c>
      <c r="I264" s="421"/>
    </row>
    <row r="265" spans="1:9" ht="27.6" customHeight="1" x14ac:dyDescent="0.3">
      <c r="B265" s="11"/>
      <c r="C265" s="91" t="str">
        <f>_xlfn.CONCAT(_xlfn.XLOOKUP("[S08_VirtualVisitsActivityLevelDetail][2][TypeForceMajeur]",Submission!$O:$O,Submission!$H:$N,""))</f>
        <v/>
      </c>
      <c r="D265" s="335" t="str">
        <f>_xlfn.CONCAT(_xlfn.XLOOKUP("[S08_VirtualVisitsActivityLevelDetail][2][NumberOfInstallationsVV]",Submission!$O:$O,Submission!$H:$N,""))</f>
        <v/>
      </c>
      <c r="E265" s="337"/>
      <c r="F265" s="419" t="str">
        <f>_xlfn.CONCAT(_xlfn.XLOOKUP("[S08_VirtualVisitsActivityLevelDetail][2][AuthorityApproval]",Submission!$O:$O,Submission!$H:$N,""))</f>
        <v/>
      </c>
      <c r="G265" s="421"/>
      <c r="H265" s="419" t="str">
        <f>_xlfn.CONCAT(_xlfn.XLOOKUP("[S08_VirtualVisitsActivityLevelDetail][2][ConfirmationConditionsMet]",Submission!$O:$O,Submission!$H:$N,""))</f>
        <v/>
      </c>
      <c r="I265" s="421"/>
    </row>
    <row r="266" spans="1:9" ht="27.6" customHeight="1" x14ac:dyDescent="0.3">
      <c r="B266" s="11"/>
      <c r="C266" s="91" t="str">
        <f>_xlfn.CONCAT(_xlfn.XLOOKUP("[S08_VirtualVisitsActivityLevelDetail][3][TypeForceMajeur]",Submission!$O:$O,Submission!$H:$N,""))</f>
        <v/>
      </c>
      <c r="D266" s="335" t="str">
        <f>_xlfn.CONCAT(_xlfn.XLOOKUP("[S08_VirtualVisitsActivityLevelDetail][3][NumberOfInstallationsVV]",Submission!$O:$O,Submission!$H:$N,""))</f>
        <v/>
      </c>
      <c r="E266" s="337"/>
      <c r="F266" s="419" t="str">
        <f>_xlfn.CONCAT(_xlfn.XLOOKUP("[S08_VirtualVisitsActivityLevelDetail][3][AuthorityApproval]",Submission!$O:$O,Submission!$H:$N,""))</f>
        <v/>
      </c>
      <c r="G266" s="421"/>
      <c r="H266" s="419" t="str">
        <f>_xlfn.CONCAT(_xlfn.XLOOKUP("[S08_VirtualVisitsActivityLevelDetail][3][ConfirmationConditionsMet]",Submission!$O:$O,Submission!$H:$N,""))</f>
        <v/>
      </c>
      <c r="I266" s="421"/>
    </row>
    <row r="267" spans="1:9" ht="27.6" customHeight="1" x14ac:dyDescent="0.3">
      <c r="B267" s="11"/>
      <c r="C267" s="91" t="str">
        <f>_xlfn.CONCAT(_xlfn.XLOOKUP("[S08_VirtualVisitsActivityLevelDetail][4][TypeForceMajeur]",Submission!$O:$O,Submission!$H:$N,""))</f>
        <v/>
      </c>
      <c r="D267" s="335" t="str">
        <f>_xlfn.CONCAT(_xlfn.XLOOKUP("[S08_VirtualVisitsActivityLevelDetail][4][NumberOfInstallationsVV]",Submission!$O:$O,Submission!$H:$N,""))</f>
        <v/>
      </c>
      <c r="E267" s="337"/>
      <c r="F267" s="419" t="str">
        <f>_xlfn.CONCAT(_xlfn.XLOOKUP("[S08_VirtualVisitsActivityLevelDetail][4][AuthorityApproval]",Submission!$O:$O,Submission!$H:$N,""))</f>
        <v/>
      </c>
      <c r="G267" s="421"/>
      <c r="H267" s="419" t="str">
        <f>_xlfn.CONCAT(_xlfn.XLOOKUP("[S08_VirtualVisitsActivityLevelDetail][4][ConfirmationConditionsMet]",Submission!$O:$O,Submission!$H:$N,""))</f>
        <v/>
      </c>
      <c r="I267" s="421"/>
    </row>
    <row r="268" spans="1:9" ht="27.6" hidden="1" customHeight="1" outlineLevel="1" x14ac:dyDescent="0.3">
      <c r="B268" s="11"/>
      <c r="C268" s="91" t="str">
        <f>_xlfn.CONCAT(_xlfn.XLOOKUP("[S08_VirtualVisitsActivityLevelDetail][5][TypeForceMajeur]",Submission!$O:$O,Submission!$H:$N,""))</f>
        <v/>
      </c>
      <c r="D268" s="335" t="str">
        <f>_xlfn.CONCAT(_xlfn.XLOOKUP("[S08_VirtualVisitsActivityLevelDetail][5][NumberOfInstallationsVV]",Submission!$O:$O,Submission!$H:$N,""))</f>
        <v/>
      </c>
      <c r="E268" s="337"/>
      <c r="F268" s="419" t="str">
        <f>_xlfn.CONCAT(_xlfn.XLOOKUP("[S08_VirtualVisitsActivityLevelDetail][5][AuthorityApproval]",Submission!$O:$O,Submission!$H:$N,""))</f>
        <v/>
      </c>
      <c r="G268" s="421"/>
      <c r="H268" s="419" t="str">
        <f>_xlfn.CONCAT(_xlfn.XLOOKUP("[S08_VirtualVisitsActivityLevelDetail][5][ConfirmationConditionsMet]",Submission!$O:$O,Submission!$H:$N,""))</f>
        <v/>
      </c>
      <c r="I268" s="421"/>
    </row>
    <row r="269" spans="1:9" ht="27.6" hidden="1" customHeight="1" outlineLevel="1" x14ac:dyDescent="0.3">
      <c r="B269" s="11"/>
      <c r="C269" s="91" t="str">
        <f>_xlfn.CONCAT(_xlfn.XLOOKUP("[S08_VirtualVisitsActivityLevelDetail][6][TypeForceMajeur]",Submission!$O:$O,Submission!$H:$N,""))</f>
        <v/>
      </c>
      <c r="D269" s="335" t="str">
        <f>_xlfn.CONCAT(_xlfn.XLOOKUP("[S08_VirtualVisitsActivityLevelDetail][6][NumberOfInstallationsVV]",Submission!$O:$O,Submission!$H:$N,""))</f>
        <v/>
      </c>
      <c r="E269" s="337"/>
      <c r="F269" s="419" t="str">
        <f>_xlfn.CONCAT(_xlfn.XLOOKUP("[S08_VirtualVisitsActivityLevelDetail][6][AuthorityApproval]",Submission!$O:$O,Submission!$H:$N,""))</f>
        <v/>
      </c>
      <c r="G269" s="421"/>
      <c r="H269" s="419" t="str">
        <f>_xlfn.CONCAT(_xlfn.XLOOKUP("[S08_VirtualVisitsActivityLevelDetail][6][ConfirmationConditionsMet]",Submission!$O:$O,Submission!$H:$N,""))</f>
        <v/>
      </c>
      <c r="I269" s="421"/>
    </row>
    <row r="270" spans="1:9" ht="27.6" hidden="1" customHeight="1" outlineLevel="1" x14ac:dyDescent="0.3">
      <c r="B270" s="11"/>
      <c r="C270" s="91" t="str">
        <f>_xlfn.CONCAT(_xlfn.XLOOKUP("[S08_VirtualVisitsActivityLevelDetail][7][TypeForceMajeur]",Submission!$O:$O,Submission!$H:$N,""))</f>
        <v/>
      </c>
      <c r="D270" s="335" t="str">
        <f>_xlfn.CONCAT(_xlfn.XLOOKUP("[S08_VirtualVisitsActivityLevelDetail][7][NumberOfInstallationsVV]",Submission!$O:$O,Submission!$H:$N,""))</f>
        <v/>
      </c>
      <c r="E270" s="337"/>
      <c r="F270" s="419" t="str">
        <f>_xlfn.CONCAT(_xlfn.XLOOKUP("[S08_VirtualVisitsActivityLevelDetail][7][AuthorityApproval]",Submission!$O:$O,Submission!$H:$N,""))</f>
        <v/>
      </c>
      <c r="G270" s="421"/>
      <c r="H270" s="419" t="str">
        <f>_xlfn.CONCAT(_xlfn.XLOOKUP("[S08_VirtualVisitsActivityLevelDetail][7][ConfirmationConditionsMet]",Submission!$O:$O,Submission!$H:$N,""))</f>
        <v/>
      </c>
      <c r="I270" s="421"/>
    </row>
    <row r="271" spans="1:9" ht="27.6" hidden="1" customHeight="1" outlineLevel="1" x14ac:dyDescent="0.3">
      <c r="B271" s="11"/>
      <c r="C271" s="91" t="str">
        <f>_xlfn.CONCAT(_xlfn.XLOOKUP("[S08_VirtualVisitsActivityLevelDetail][8][TypeForceMajeur]",Submission!$O:$O,Submission!$H:$N,""))</f>
        <v/>
      </c>
      <c r="D271" s="335" t="str">
        <f>_xlfn.CONCAT(_xlfn.XLOOKUP("[S08_VirtualVisitsActivityLevelDetail][8][NumberOfInstallationsVV]",Submission!$O:$O,Submission!$H:$N,""))</f>
        <v/>
      </c>
      <c r="E271" s="337"/>
      <c r="F271" s="419" t="str">
        <f>_xlfn.CONCAT(_xlfn.XLOOKUP("[S08_VirtualVisitsActivityLevelDetail][8][AuthorityApproval]",Submission!$O:$O,Submission!$H:$N,""))</f>
        <v/>
      </c>
      <c r="G271" s="421"/>
      <c r="H271" s="419" t="str">
        <f>_xlfn.CONCAT(_xlfn.XLOOKUP("[S08_VirtualVisitsActivityLevelDetail][8][ConfirmationConditionsMet]",Submission!$O:$O,Submission!$H:$N,""))</f>
        <v/>
      </c>
      <c r="I271" s="421"/>
    </row>
    <row r="272" spans="1:9" ht="27.6" hidden="1" customHeight="1" outlineLevel="1" x14ac:dyDescent="0.3">
      <c r="B272" s="11"/>
      <c r="C272" s="91" t="str">
        <f>_xlfn.CONCAT(_xlfn.XLOOKUP("[S08_VirtualVisitsActivityLevelDetail][9][TypeForceMajeur]",Submission!$O:$O,Submission!$H:$N,""))</f>
        <v/>
      </c>
      <c r="D272" s="335" t="str">
        <f>_xlfn.CONCAT(_xlfn.XLOOKUP("[S08_VirtualVisitsActivityLevelDetail][9][NumberOfInstallationsVV]",Submission!$O:$O,Submission!$H:$N,""))</f>
        <v/>
      </c>
      <c r="E272" s="337"/>
      <c r="F272" s="419" t="str">
        <f>_xlfn.CONCAT(_xlfn.XLOOKUP("[S08_VirtualVisitsActivityLevelDetail][9][AuthorityApproval]",Submission!$O:$O,Submission!$H:$N,""))</f>
        <v/>
      </c>
      <c r="G272" s="421"/>
      <c r="H272" s="419" t="str">
        <f>_xlfn.CONCAT(_xlfn.XLOOKUP("[S08_VirtualVisitsActivityLevelDetail][9][ConfirmationConditionsMet]",Submission!$O:$O,Submission!$H:$N,""))</f>
        <v/>
      </c>
      <c r="I272" s="421"/>
    </row>
    <row r="273" spans="1:10" ht="27.6" hidden="1" customHeight="1" outlineLevel="1" x14ac:dyDescent="0.3">
      <c r="B273" s="11"/>
      <c r="C273" s="91" t="str">
        <f>_xlfn.CONCAT(_xlfn.XLOOKUP("[S08_VirtualVisitsActivityLevelDetail][10][TypeForceMajeur]",Submission!$O:$O,Submission!$H:$N,""))</f>
        <v/>
      </c>
      <c r="D273" s="335" t="str">
        <f>_xlfn.CONCAT(_xlfn.XLOOKUP("[S08_VirtualVisitsActivityLevelDetail][10][NumberOfInstallationsVV]",Submission!$O:$O,Submission!$H:$N,""))</f>
        <v/>
      </c>
      <c r="E273" s="337"/>
      <c r="F273" s="419" t="str">
        <f>_xlfn.CONCAT(_xlfn.XLOOKUP("[S08_VirtualVisitsActivityLevelDetail][10][AuthorityApproval]",Submission!$O:$O,Submission!$H:$N,""))</f>
        <v/>
      </c>
      <c r="G273" s="421"/>
      <c r="H273" s="419" t="str">
        <f>_xlfn.CONCAT(_xlfn.XLOOKUP("[S08_VirtualVisitsActivityLevelDetail][10][ConfirmationConditionsMet]",Submission!$O:$O,Submission!$H:$N,""))</f>
        <v/>
      </c>
      <c r="I273" s="421"/>
    </row>
    <row r="274" spans="1:10" ht="27.6" hidden="1" customHeight="1" outlineLevel="1" x14ac:dyDescent="0.3">
      <c r="B274" s="11"/>
      <c r="C274" s="91" t="str">
        <f>_xlfn.CONCAT(_xlfn.XLOOKUP("[S08_VirtualVisitsActivityLevelDetail][11][TypeForceMajeur]",Submission!$O:$O,Submission!$H:$N,""))</f>
        <v/>
      </c>
      <c r="D274" s="335" t="str">
        <f>_xlfn.CONCAT(_xlfn.XLOOKUP("[S08_VirtualVisitsActivityLevelDetail][11][NumberOfInstallationsVV]",Submission!$O:$O,Submission!$H:$N,""))</f>
        <v/>
      </c>
      <c r="E274" s="337"/>
      <c r="F274" s="419" t="str">
        <f>_xlfn.CONCAT(_xlfn.XLOOKUP("[S08_VirtualVisitsActivityLevelDetail][11][AuthorityApproval]",Submission!$O:$O,Submission!$H:$N,""))</f>
        <v/>
      </c>
      <c r="G274" s="421"/>
      <c r="H274" s="419" t="str">
        <f>_xlfn.CONCAT(_xlfn.XLOOKUP("[S08_VirtualVisitsActivityLevelDetail][11][ConfirmationConditionsMet]",Submission!$O:$O,Submission!$H:$N,""))</f>
        <v/>
      </c>
      <c r="I274" s="421"/>
    </row>
    <row r="275" spans="1:10" ht="27.6" hidden="1" customHeight="1" outlineLevel="1" x14ac:dyDescent="0.3">
      <c r="B275" s="11"/>
      <c r="C275" s="91" t="str">
        <f>_xlfn.CONCAT(_xlfn.XLOOKUP("[S08_VirtualVisitsActivityLevelDetail][12][TypeForceMajeur]",Submission!$O:$O,Submission!$H:$N,""))</f>
        <v/>
      </c>
      <c r="D275" s="335" t="str">
        <f>_xlfn.CONCAT(_xlfn.XLOOKUP("[S08_VirtualVisitsActivityLevelDetail][12][NumberOfInstallationsVV]",Submission!$O:$O,Submission!$H:$N,""))</f>
        <v/>
      </c>
      <c r="E275" s="337"/>
      <c r="F275" s="419" t="str">
        <f>_xlfn.CONCAT(_xlfn.XLOOKUP("[S08_VirtualVisitsActivityLevelDetail][12][AuthorityApproval]",Submission!$O:$O,Submission!$H:$N,""))</f>
        <v/>
      </c>
      <c r="G275" s="421"/>
      <c r="H275" s="419" t="str">
        <f>_xlfn.CONCAT(_xlfn.XLOOKUP("[S08_VirtualVisitsActivityLevelDetail][12][ConfirmationConditionsMet]",Submission!$O:$O,Submission!$H:$N,""))</f>
        <v/>
      </c>
      <c r="I275" s="421"/>
    </row>
    <row r="276" spans="1:10" collapsed="1" x14ac:dyDescent="0.3">
      <c r="B276" s="26" t="s">
        <v>1000</v>
      </c>
      <c r="C276" s="16"/>
      <c r="D276" s="19"/>
      <c r="E276" s="11"/>
      <c r="F276" s="11"/>
      <c r="G276" s="11"/>
      <c r="H276" s="11"/>
      <c r="I276" s="11"/>
    </row>
    <row r="277" spans="1:10" x14ac:dyDescent="0.3">
      <c r="C277" s="418" t="s">
        <v>1221</v>
      </c>
      <c r="D277" s="477"/>
      <c r="E277" s="477"/>
      <c r="F277" s="477"/>
      <c r="G277" s="477"/>
      <c r="H277" s="477"/>
      <c r="I277" s="477"/>
      <c r="J277" s="477"/>
    </row>
    <row r="278" spans="1:10" x14ac:dyDescent="0.3">
      <c r="C278" s="26"/>
      <c r="D278" s="16"/>
      <c r="E278" s="16"/>
      <c r="F278" s="16"/>
      <c r="G278" s="16"/>
      <c r="H278" s="16"/>
      <c r="I278" s="16"/>
      <c r="J278" s="16"/>
    </row>
    <row r="279" spans="1:10" x14ac:dyDescent="0.3">
      <c r="A279" s="12" t="s">
        <v>533</v>
      </c>
      <c r="B279" s="481" t="s">
        <v>1222</v>
      </c>
      <c r="C279" s="481"/>
      <c r="D279" s="481"/>
      <c r="E279" s="481"/>
      <c r="F279" s="481"/>
      <c r="G279" s="481"/>
      <c r="H279" s="481"/>
      <c r="I279" s="481"/>
    </row>
    <row r="280" spans="1:10" ht="31.2" customHeight="1" x14ac:dyDescent="0.3">
      <c r="A280" s="12"/>
      <c r="B280" s="338" t="s">
        <v>1223</v>
      </c>
      <c r="C280" s="308"/>
      <c r="D280" s="308"/>
      <c r="E280" s="308"/>
      <c r="F280" s="308"/>
      <c r="G280" s="308"/>
      <c r="H280" s="308"/>
      <c r="I280" s="308"/>
    </row>
    <row r="281" spans="1:10" x14ac:dyDescent="0.3">
      <c r="C281" s="484" t="s">
        <v>1224</v>
      </c>
      <c r="D281" s="485"/>
      <c r="E281" s="488" t="s">
        <v>1225</v>
      </c>
      <c r="F281" s="489"/>
      <c r="G281" s="488" t="s">
        <v>1226</v>
      </c>
      <c r="H281" s="489"/>
      <c r="I281" s="463" t="s">
        <v>1227</v>
      </c>
    </row>
    <row r="282" spans="1:10" x14ac:dyDescent="0.3">
      <c r="C282" s="415"/>
      <c r="D282" s="417"/>
      <c r="E282" s="52" t="s">
        <v>1228</v>
      </c>
      <c r="F282" s="52" t="s">
        <v>1229</v>
      </c>
      <c r="G282" s="52" t="s">
        <v>1228</v>
      </c>
      <c r="H282" s="52" t="s">
        <v>1229</v>
      </c>
      <c r="I282" s="464"/>
    </row>
    <row r="283" spans="1:10" ht="37.950000000000003" customHeight="1" x14ac:dyDescent="0.3">
      <c r="C283" s="249" t="s">
        <v>1230</v>
      </c>
      <c r="D283" s="273"/>
      <c r="E283" s="105" t="str">
        <f>_xlfn.CONCAT(_xlfn.XLOOKUP("[S08_PenaltiesAllocation][1][MinFine]",Submission!$O:$O,Submission!$H:$N,""))</f>
        <v>0</v>
      </c>
      <c r="F283" s="105" t="str">
        <f>_xlfn.CONCAT(_xlfn.XLOOKUP("[S08_PenaltiesAllocation][1][MaxFine]",Submission!$O:$O,Submission!$H:$N,""))</f>
        <v>0</v>
      </c>
      <c r="G283" s="105" t="str">
        <f>_xlfn.CONCAT(_xlfn.XLOOKUP("[S08_PenaltiesAllocation][1][PrisonMin]",Submission!$O:$O,Submission!$H:$N,""))</f>
        <v>0</v>
      </c>
      <c r="H283" s="105" t="str">
        <f>_xlfn.CONCAT(_xlfn.XLOOKUP("[S08_PenaltiesAllocation][1][PrisonMax]",Submission!$O:$O,Submission!$H:$N,""))</f>
        <v>0</v>
      </c>
      <c r="I283" s="72" t="str">
        <f>_xlfn.CONCAT(_xlfn.XLOOKUP("[S08_PenaltiesAllocation][1][OtherPenalty]",Submission!$O:$O,Submission!$H:$N,""))</f>
        <v/>
      </c>
    </row>
    <row r="284" spans="1:10" ht="58.2" customHeight="1" x14ac:dyDescent="0.3">
      <c r="C284" s="249" t="s">
        <v>1231</v>
      </c>
      <c r="D284" s="273"/>
      <c r="E284" s="105" t="str">
        <f>_xlfn.CONCAT(_xlfn.XLOOKUP("[S08_PenaltiesAllocation][2][MinFine]",Submission!$O:$O,Submission!$H:$N,""))</f>
        <v>0</v>
      </c>
      <c r="F284" s="105" t="str">
        <f>_xlfn.CONCAT(_xlfn.XLOOKUP("[S08_PenaltiesAllocation][2][MaxFine]",Submission!$O:$O,Submission!$H:$N,""))</f>
        <v>800000</v>
      </c>
      <c r="G284" s="105" t="str">
        <f>_xlfn.CONCAT(_xlfn.XLOOKUP("[S08_PenaltiesAllocation][2][PrisonMin]",Submission!$O:$O,Submission!$H:$N,""))</f>
        <v>0</v>
      </c>
      <c r="H284" s="105" t="str">
        <f>_xlfn.CONCAT(_xlfn.XLOOKUP("[S08_PenaltiesAllocation][2][PrisonMax]",Submission!$O:$O,Submission!$H:$N,""))</f>
        <v>0</v>
      </c>
      <c r="I284" s="72" t="str">
        <f>_xlfn.CONCAT(_xlfn.XLOOKUP("[S08_PenaltiesAllocation][2][OtherPenalty]",Submission!$O:$O,Submission!$H:$N,""))</f>
        <v/>
      </c>
    </row>
    <row r="285" spans="1:10" ht="58.2" customHeight="1" x14ac:dyDescent="0.3">
      <c r="C285" s="249" t="s">
        <v>1232</v>
      </c>
      <c r="D285" s="273"/>
      <c r="E285" s="105" t="str">
        <f>_xlfn.CONCAT(_xlfn.XLOOKUP("[S08_PenaltiesAllocation][3][MinFine]",Submission!$O:$O,Submission!$H:$N,""))</f>
        <v>0</v>
      </c>
      <c r="F285" s="105" t="str">
        <f>_xlfn.CONCAT(_xlfn.XLOOKUP("[S08_PenaltiesAllocation][3][MaxFine]",Submission!$O:$O,Submission!$H:$N,""))</f>
        <v>0</v>
      </c>
      <c r="G285" s="105" t="str">
        <f>_xlfn.CONCAT(_xlfn.XLOOKUP("[S08_PenaltiesAllocation][3][PrisonMin]",Submission!$O:$O,Submission!$H:$N,""))</f>
        <v>0</v>
      </c>
      <c r="H285" s="105" t="str">
        <f>_xlfn.CONCAT(_xlfn.XLOOKUP("[S08_PenaltiesAllocation][3][PrisonMax]",Submission!$O:$O,Submission!$H:$N,""))</f>
        <v>0</v>
      </c>
      <c r="I285" s="72" t="str">
        <f>_xlfn.CONCAT(_xlfn.XLOOKUP("[S08_PenaltiesAllocation][3][OtherPenalty]",Submission!$O:$O,Submission!$H:$N,""))</f>
        <v/>
      </c>
    </row>
    <row r="286" spans="1:10" ht="36" customHeight="1" x14ac:dyDescent="0.3">
      <c r="C286" s="486" t="s">
        <v>1233</v>
      </c>
      <c r="D286" s="487"/>
      <c r="E286" s="105" t="str">
        <f>_xlfn.CONCAT(_xlfn.XLOOKUP("[S08_PenaltiesAllocation][4][MinFine]",Submission!$O:$O,Submission!$H:$N,""))</f>
        <v>0</v>
      </c>
      <c r="F286" s="105" t="str">
        <f>_xlfn.CONCAT(_xlfn.XLOOKUP("[S08_PenaltiesAllocation][4][MaxFine]",Submission!$O:$O,Submission!$H:$N,""))</f>
        <v>800000</v>
      </c>
      <c r="G286" s="105" t="str">
        <f>_xlfn.CONCAT(_xlfn.XLOOKUP("[S08_PenaltiesAllocation][4][PrisonMin]",Submission!$O:$O,Submission!$H:$N,""))</f>
        <v>0</v>
      </c>
      <c r="H286" s="105" t="str">
        <f>_xlfn.CONCAT(_xlfn.XLOOKUP("[S08_PenaltiesAllocation][4][PrisonMax]",Submission!$O:$O,Submission!$H:$N,""))</f>
        <v>0</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38" t="s">
        <v>1238</v>
      </c>
      <c r="C293" s="308"/>
      <c r="D293" s="308"/>
      <c r="E293" s="308"/>
      <c r="F293" s="308"/>
      <c r="G293" s="308"/>
      <c r="H293" s="308"/>
      <c r="I293" s="308"/>
    </row>
    <row r="294" spans="1:9" x14ac:dyDescent="0.3">
      <c r="C294" s="484" t="s">
        <v>1239</v>
      </c>
      <c r="D294" s="485"/>
      <c r="E294" s="314" t="s">
        <v>1240</v>
      </c>
      <c r="F294" s="333"/>
      <c r="G294" s="334"/>
      <c r="H294" s="482" t="s">
        <v>1241</v>
      </c>
      <c r="I294" s="482" t="s">
        <v>1242</v>
      </c>
    </row>
    <row r="295" spans="1:9" ht="41.4" customHeight="1" x14ac:dyDescent="0.3">
      <c r="C295" s="415"/>
      <c r="D295" s="417"/>
      <c r="E295" s="53" t="s">
        <v>1225</v>
      </c>
      <c r="F295" s="53" t="s">
        <v>1226</v>
      </c>
      <c r="G295" s="53" t="s">
        <v>1227</v>
      </c>
      <c r="H295" s="483"/>
      <c r="I295" s="483"/>
    </row>
    <row r="296" spans="1:9" ht="39.6" customHeight="1" x14ac:dyDescent="0.3">
      <c r="C296" s="258" t="str">
        <f>_xlfn.CONCAT(_xlfn.XLOOKUP("[S08_InfringementsIncurredAllocation][1][InfringementType]",Submission!$O:$O,Submission!$H:$N,""))</f>
        <v/>
      </c>
      <c r="D296" s="260"/>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58" t="str">
        <f>_xlfn.CONCAT(_xlfn.XLOOKUP("[S08_InfringementsIncurredAllocation][2][InfringementType]",Submission!$O:$O,Submission!$H:$N,""))</f>
        <v/>
      </c>
      <c r="D297" s="260"/>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58" t="str">
        <f>_xlfn.CONCAT(_xlfn.XLOOKUP("[S08_InfringementsIncurredAllocation][3][InfringementType]",Submission!$O:$O,Submission!$H:$N,""))</f>
        <v/>
      </c>
      <c r="D298" s="260"/>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58" t="str">
        <f>_xlfn.CONCAT(_xlfn.XLOOKUP("[S08_InfringementsIncurredAllocation][4][InfringementType]",Submission!$O:$O,Submission!$H:$N,""))</f>
        <v/>
      </c>
      <c r="D299" s="260"/>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58" t="str">
        <f>_xlfn.CONCAT(_xlfn.XLOOKUP("[S08_InfringementsIncurredAllocation][5][InfringementType]",Submission!$O:$O,Submission!$H:$N,""))</f>
        <v/>
      </c>
      <c r="D300" s="260"/>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58" t="str">
        <f>_xlfn.CONCAT(_xlfn.XLOOKUP("[S08_InfringementsIncurredAllocation][6][InfringementType]",Submission!$O:$O,Submission!$H:$N,""))</f>
        <v/>
      </c>
      <c r="D301" s="260"/>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58" t="str">
        <f>_xlfn.CONCAT(_xlfn.XLOOKUP("[S08_InfringementsIncurredAllocation][7][InfringementType]",Submission!$O:$O,Submission!$H:$N,""))</f>
        <v/>
      </c>
      <c r="D302" s="260"/>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58" t="str">
        <f>_xlfn.CONCAT(_xlfn.XLOOKUP("[S08_InfringementsIncurredAllocation][8][InfringementType]",Submission!$O:$O,Submission!$H:$N,""))</f>
        <v/>
      </c>
      <c r="D303" s="260"/>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58" t="str">
        <f>_xlfn.CONCAT(_xlfn.XLOOKUP("[S08_InfringementsIncurredAllocation][9][InfringementType]",Submission!$O:$O,Submission!$H:$N,""))</f>
        <v/>
      </c>
      <c r="D304" s="260"/>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58" t="str">
        <f>_xlfn.CONCAT(_xlfn.XLOOKUP("[S08_InfringementsIncurredAllocation][10][InfringementType]",Submission!$O:$O,Submission!$H:$N,""))</f>
        <v/>
      </c>
      <c r="D305" s="260"/>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58" t="str">
        <f>_xlfn.CONCAT(_xlfn.XLOOKUP("[S08_InfringementsIncurredAllocation][11][InfringementType]",Submission!$O:$O,Submission!$H:$N,""))</f>
        <v/>
      </c>
      <c r="D306" s="260"/>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58" t="str">
        <f>_xlfn.CONCAT(_xlfn.XLOOKUP("[S08_InfringementsIncurredAllocation][12][InfringementType]",Submission!$O:$O,Submission!$H:$N,""))</f>
        <v/>
      </c>
      <c r="D307" s="260"/>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58" t="str">
        <f>_xlfn.CONCAT(_xlfn.XLOOKUP("[S08_InfringementsIncurredAllocation][13][InfringementType]",Submission!$O:$O,Submission!$H:$N,""))</f>
        <v/>
      </c>
      <c r="D308" s="260"/>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58" t="str">
        <f>_xlfn.CONCAT(_xlfn.XLOOKUP("[S08_InfringementsIncurredAllocation][14][InfringementType]",Submission!$O:$O,Submission!$H:$N,""))</f>
        <v/>
      </c>
      <c r="D309" s="260"/>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58" t="str">
        <f>_xlfn.CONCAT(_xlfn.XLOOKUP("[S08_InfringementsIncurredAllocation][15][InfringementType]",Submission!$O:$O,Submission!$H:$N,""))</f>
        <v/>
      </c>
      <c r="D310" s="260"/>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58" t="str">
        <f>_xlfn.CONCAT(_xlfn.XLOOKUP("[S08_InfringementsIncurredAllocation][16][InfringementType]",Submission!$O:$O,Submission!$H:$N,""))</f>
        <v/>
      </c>
      <c r="D311" s="260"/>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58" t="str">
        <f>_xlfn.CONCAT(_xlfn.XLOOKUP("[S08_InfringementsIncurredAllocation][17][InfringementType]",Submission!$O:$O,Submission!$H:$N,""))</f>
        <v/>
      </c>
      <c r="D312" s="260"/>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58" t="str">
        <f>_xlfn.CONCAT(_xlfn.XLOOKUP("[S08_InfringementsIncurredAllocation][18][InfringementType]",Submission!$O:$O,Submission!$H:$N,""))</f>
        <v/>
      </c>
      <c r="D313" s="260"/>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58" t="str">
        <f>_xlfn.CONCAT(_xlfn.XLOOKUP("[S08_InfringementsIncurredAllocation][19][InfringementType]",Submission!$O:$O,Submission!$H:$N,""))</f>
        <v/>
      </c>
      <c r="D314" s="260"/>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58" t="str">
        <f>_xlfn.CONCAT(_xlfn.XLOOKUP("[S08_InfringementsIncurredAllocation][20][InfringementType]",Submission!$O:$O,Submission!$H:$N,""))</f>
        <v/>
      </c>
      <c r="D315" s="260"/>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58" t="str">
        <f>_xlfn.CONCAT(_xlfn.XLOOKUP("[S08_InfringementsIncurredAllocation][21][InfringementType]",Submission!$O:$O,Submission!$H:$N,""))</f>
        <v/>
      </c>
      <c r="D316" s="260"/>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58" t="str">
        <f>_xlfn.CONCAT(_xlfn.XLOOKUP("[S08_InfringementsIncurredAllocation][22][InfringementType]",Submission!$O:$O,Submission!$H:$N,""))</f>
        <v/>
      </c>
      <c r="D317" s="260"/>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18" t="s">
        <v>1243</v>
      </c>
      <c r="D319" s="477"/>
      <c r="E319" s="477"/>
      <c r="F319" s="477"/>
      <c r="G319" s="477"/>
      <c r="H319" s="477"/>
      <c r="I319" s="477"/>
      <c r="J319" s="477"/>
    </row>
    <row r="321" spans="2:9" ht="15.6" customHeight="1" x14ac:dyDescent="0.3">
      <c r="B321" s="478" t="s">
        <v>1244</v>
      </c>
      <c r="C321" s="478"/>
      <c r="D321" s="478"/>
      <c r="E321" s="478"/>
      <c r="F321" s="478"/>
      <c r="G321" s="478"/>
      <c r="H321" s="479"/>
      <c r="I321" s="41" t="str">
        <f>_xlfn.CONCAT(_xlfn.XLOOKUP("[PriorPenaltiesEnforced][0][PriorPenaltiesEnforced]",Submission!$O:$O,Submission!$H:$N,""))</f>
        <v/>
      </c>
    </row>
    <row r="322" spans="2:9" ht="16.2" customHeight="1" x14ac:dyDescent="0.3">
      <c r="B322" s="338" t="s">
        <v>1245</v>
      </c>
      <c r="C322" s="308"/>
      <c r="D322" s="308"/>
      <c r="E322" s="308"/>
      <c r="F322" s="308"/>
      <c r="G322" s="308"/>
      <c r="H322" s="308"/>
      <c r="I322" s="308"/>
    </row>
    <row r="323" spans="2:9" x14ac:dyDescent="0.3">
      <c r="C323" s="435" t="s">
        <v>1224</v>
      </c>
      <c r="D323" s="436"/>
      <c r="E323" s="437"/>
      <c r="F323" s="435" t="s">
        <v>1246</v>
      </c>
      <c r="G323" s="437"/>
      <c r="H323" s="435" t="s">
        <v>1247</v>
      </c>
      <c r="I323" s="437"/>
    </row>
    <row r="324" spans="2:9" x14ac:dyDescent="0.3">
      <c r="C324" s="255" t="str">
        <f>_xlfn.CONCAT(_xlfn.XLOOKUP("[S08_PriorPenaltiesEnforcedDetail][1][TypeInfringement]",Submission!$O:$O,Submission!$H:$N,""))</f>
        <v/>
      </c>
      <c r="D324" s="460"/>
      <c r="E324" s="256"/>
      <c r="F324" s="255" t="str">
        <f>_xlfn.CONCAT(_xlfn.XLOOKUP("[S08_PriorPenaltiesEnforcedDetail][1][TypePenalty]",Submission!$O:$O,Submission!$H:$N,""))</f>
        <v/>
      </c>
      <c r="G324" s="256"/>
      <c r="H324" s="458" t="str">
        <f>_xlfn.CONCAT(_xlfn.XLOOKUP("[S08_PriorPenaltiesEnforcedDetail][1][ReportinYear]",Submission!$O:$O,Submission!$H:$N,""))</f>
        <v/>
      </c>
      <c r="I324" s="459"/>
    </row>
    <row r="325" spans="2:9" x14ac:dyDescent="0.3">
      <c r="C325" s="255" t="str">
        <f>_xlfn.CONCAT(_xlfn.XLOOKUP("[S08_PriorPenaltiesEnforcedDetail][2][TypeInfringement]",Submission!$O:$O,Submission!$H:$N,""))</f>
        <v/>
      </c>
      <c r="D325" s="460"/>
      <c r="E325" s="256"/>
      <c r="F325" s="255" t="str">
        <f>_xlfn.CONCAT(_xlfn.XLOOKUP("[S08_PriorPenaltiesEnforcedDetail][2][TypePenalty]",Submission!$O:$O,Submission!$H:$N,""))</f>
        <v/>
      </c>
      <c r="G325" s="256"/>
      <c r="H325" s="458" t="str">
        <f>_xlfn.CONCAT(_xlfn.XLOOKUP("[S08_PriorPenaltiesEnforcedDetail][2][ReportinYear]",Submission!$O:$O,Submission!$H:$N,""))</f>
        <v/>
      </c>
      <c r="I325" s="459"/>
    </row>
    <row r="326" spans="2:9" x14ac:dyDescent="0.3">
      <c r="C326" s="255" t="str">
        <f>_xlfn.CONCAT(_xlfn.XLOOKUP("[S08_PriorPenaltiesEnforcedDetail][3][TypeInfringement]",Submission!$O:$O,Submission!$H:$N,""))</f>
        <v/>
      </c>
      <c r="D326" s="460"/>
      <c r="E326" s="256"/>
      <c r="F326" s="255" t="str">
        <f>_xlfn.CONCAT(_xlfn.XLOOKUP("[S08_PriorPenaltiesEnforcedDetail][3][TypePenalty]",Submission!$O:$O,Submission!$H:$N,""))</f>
        <v/>
      </c>
      <c r="G326" s="256"/>
      <c r="H326" s="458" t="str">
        <f>_xlfn.CONCAT(_xlfn.XLOOKUP("[S08_PriorPenaltiesEnforcedDetail][3][ReportinYear]",Submission!$O:$O,Submission!$H:$N,""))</f>
        <v/>
      </c>
      <c r="I326" s="459"/>
    </row>
    <row r="327" spans="2:9" x14ac:dyDescent="0.3">
      <c r="C327" s="255" t="str">
        <f>_xlfn.CONCAT(_xlfn.XLOOKUP("[S08_PriorPenaltiesEnforcedDetail][4][TypeInfringement]",Submission!$O:$O,Submission!$H:$N,""))</f>
        <v/>
      </c>
      <c r="D327" s="460"/>
      <c r="E327" s="256"/>
      <c r="F327" s="255" t="str">
        <f>_xlfn.CONCAT(_xlfn.XLOOKUP("[S08_PriorPenaltiesEnforcedDetail][4][TypePenalty]",Submission!$O:$O,Submission!$H:$N,""))</f>
        <v/>
      </c>
      <c r="G327" s="256"/>
      <c r="H327" s="458" t="str">
        <f>_xlfn.CONCAT(_xlfn.XLOOKUP("[S08_PriorPenaltiesEnforcedDetail][4][ReportinYear]",Submission!$O:$O,Submission!$H:$N,""))</f>
        <v/>
      </c>
      <c r="I327" s="459"/>
    </row>
    <row r="328" spans="2:9" x14ac:dyDescent="0.3">
      <c r="C328" s="255" t="str">
        <f>_xlfn.CONCAT(_xlfn.XLOOKUP("[S08_PriorPenaltiesEnforcedDetail][5][TypeInfringement]",Submission!$O:$O,Submission!$H:$N,""))</f>
        <v/>
      </c>
      <c r="D328" s="460"/>
      <c r="E328" s="256"/>
      <c r="F328" s="255" t="str">
        <f>_xlfn.CONCAT(_xlfn.XLOOKUP("[S08_PriorPenaltiesEnforcedDetail][5][TypePenalty]",Submission!$O:$O,Submission!$H:$N,""))</f>
        <v/>
      </c>
      <c r="G328" s="256"/>
      <c r="H328" s="458" t="str">
        <f>_xlfn.CONCAT(_xlfn.XLOOKUP("[S08_PriorPenaltiesEnforcedDetail][5][ReportinYear]",Submission!$O:$O,Submission!$H:$N,""))</f>
        <v/>
      </c>
      <c r="I328" s="459"/>
    </row>
    <row r="329" spans="2:9" hidden="1" outlineLevel="1" x14ac:dyDescent="0.3">
      <c r="C329" s="255" t="str">
        <f>_xlfn.CONCAT(_xlfn.XLOOKUP("[S08_PriorPenaltiesEnforcedDetail][6][TypeInfringement]",Submission!$O:$O,Submission!$H:$N,""))</f>
        <v/>
      </c>
      <c r="D329" s="460"/>
      <c r="E329" s="256"/>
      <c r="F329" s="255" t="str">
        <f>_xlfn.CONCAT(_xlfn.XLOOKUP("[S08_PriorPenaltiesEnforcedDetail][6][TypePenalty]",Submission!$O:$O,Submission!$H:$N,""))</f>
        <v/>
      </c>
      <c r="G329" s="256"/>
      <c r="H329" s="458" t="str">
        <f>_xlfn.CONCAT(_xlfn.XLOOKUP("[S08_PriorPenaltiesEnforcedDetail][6][ReportinYear]",Submission!$O:$O,Submission!$H:$N,""))</f>
        <v/>
      </c>
      <c r="I329" s="459"/>
    </row>
    <row r="330" spans="2:9" hidden="1" outlineLevel="1" x14ac:dyDescent="0.3">
      <c r="C330" s="255" t="str">
        <f>_xlfn.CONCAT(_xlfn.XLOOKUP("[S08_PriorPenaltiesEnforcedDetail][7][TypeInfringement]",Submission!$O:$O,Submission!$H:$N,""))</f>
        <v/>
      </c>
      <c r="D330" s="460"/>
      <c r="E330" s="256"/>
      <c r="F330" s="255" t="str">
        <f>_xlfn.CONCAT(_xlfn.XLOOKUP("[S08_PriorPenaltiesEnforcedDetail][7][TypePenalty]",Submission!$O:$O,Submission!$H:$N,""))</f>
        <v/>
      </c>
      <c r="G330" s="256"/>
      <c r="H330" s="458" t="str">
        <f>_xlfn.CONCAT(_xlfn.XLOOKUP("[S08_PriorPenaltiesEnforcedDetail][7][ReportinYear]",Submission!$O:$O,Submission!$H:$N,""))</f>
        <v/>
      </c>
      <c r="I330" s="459"/>
    </row>
    <row r="331" spans="2:9" hidden="1" outlineLevel="1" x14ac:dyDescent="0.3">
      <c r="C331" s="255" t="str">
        <f>_xlfn.CONCAT(_xlfn.XLOOKUP("[S08_PriorPenaltiesEnforcedDetail][8][TypeInfringement]",Submission!$O:$O,Submission!$H:$N,""))</f>
        <v/>
      </c>
      <c r="D331" s="460"/>
      <c r="E331" s="256"/>
      <c r="F331" s="255" t="str">
        <f>_xlfn.CONCAT(_xlfn.XLOOKUP("[S08_PriorPenaltiesEnforcedDetail][8][TypePenalty]",Submission!$O:$O,Submission!$H:$N,""))</f>
        <v/>
      </c>
      <c r="G331" s="256"/>
      <c r="H331" s="458" t="str">
        <f>_xlfn.CONCAT(_xlfn.XLOOKUP("[S08_PriorPenaltiesEnforcedDetail][8][ReportinYear]",Submission!$O:$O,Submission!$H:$N,""))</f>
        <v/>
      </c>
      <c r="I331" s="459"/>
    </row>
    <row r="332" spans="2:9" hidden="1" outlineLevel="1" x14ac:dyDescent="0.3">
      <c r="C332" s="255" t="str">
        <f>_xlfn.CONCAT(_xlfn.XLOOKUP("[S08_PriorPenaltiesEnforcedDetail][9][TypeInfringement]",Submission!$O:$O,Submission!$H:$N,""))</f>
        <v/>
      </c>
      <c r="D332" s="460"/>
      <c r="E332" s="256"/>
      <c r="F332" s="255" t="str">
        <f>_xlfn.CONCAT(_xlfn.XLOOKUP("[S08_PriorPenaltiesEnforcedDetail][9][TypePenalty]",Submission!$O:$O,Submission!$H:$N,""))</f>
        <v/>
      </c>
      <c r="G332" s="256"/>
      <c r="H332" s="458" t="str">
        <f>_xlfn.CONCAT(_xlfn.XLOOKUP("[S08_PriorPenaltiesEnforcedDetail][9][ReportinYear]",Submission!$O:$O,Submission!$H:$N,""))</f>
        <v/>
      </c>
      <c r="I332" s="459"/>
    </row>
    <row r="333" spans="2:9" hidden="1" outlineLevel="1" x14ac:dyDescent="0.3">
      <c r="C333" s="255" t="str">
        <f>_xlfn.CONCAT(_xlfn.XLOOKUP("[S08_PriorPenaltiesEnforcedDetail][10][TypeInfringement]",Submission!$O:$O,Submission!$H:$N,""))</f>
        <v/>
      </c>
      <c r="D333" s="460"/>
      <c r="E333" s="256"/>
      <c r="F333" s="255" t="str">
        <f>_xlfn.CONCAT(_xlfn.XLOOKUP("[S08_PriorPenaltiesEnforcedDetail][10][TypePenalty]",Submission!$O:$O,Submission!$H:$N,""))</f>
        <v/>
      </c>
      <c r="G333" s="256"/>
      <c r="H333" s="458" t="str">
        <f>_xlfn.CONCAT(_xlfn.XLOOKUP("[S08_PriorPenaltiesEnforcedDetail][10][ReportinYear]",Submission!$O:$O,Submission!$H:$N,""))</f>
        <v/>
      </c>
      <c r="I333" s="459"/>
    </row>
    <row r="334" spans="2:9" hidden="1" outlineLevel="1" x14ac:dyDescent="0.3">
      <c r="C334" s="255" t="str">
        <f>_xlfn.CONCAT(_xlfn.XLOOKUP("[S08_PriorPenaltiesEnforcedDetail][11][TypeInfringement]",Submission!$O:$O,Submission!$H:$N,""))</f>
        <v/>
      </c>
      <c r="D334" s="460"/>
      <c r="E334" s="256"/>
      <c r="F334" s="255" t="str">
        <f>_xlfn.CONCAT(_xlfn.XLOOKUP("[S08_PriorPenaltiesEnforcedDetail][11][TypePenalty]",Submission!$O:$O,Submission!$H:$N,""))</f>
        <v/>
      </c>
      <c r="G334" s="256"/>
      <c r="H334" s="458" t="str">
        <f>_xlfn.CONCAT(_xlfn.XLOOKUP("[S08_PriorPenaltiesEnforcedDetail][11][ReportinYear]",Submission!$O:$O,Submission!$H:$N,""))</f>
        <v/>
      </c>
      <c r="I334" s="459"/>
    </row>
    <row r="335" spans="2:9" hidden="1" outlineLevel="1" x14ac:dyDescent="0.3">
      <c r="C335" s="255" t="str">
        <f>_xlfn.CONCAT(_xlfn.XLOOKUP("[S08_PriorPenaltiesEnforcedDetail][12][TypeInfringement]",Submission!$O:$O,Submission!$H:$N,""))</f>
        <v/>
      </c>
      <c r="D335" s="460"/>
      <c r="E335" s="256"/>
      <c r="F335" s="255" t="str">
        <f>_xlfn.CONCAT(_xlfn.XLOOKUP("[S08_PriorPenaltiesEnforcedDetail][12][TypePenalty]",Submission!$O:$O,Submission!$H:$N,""))</f>
        <v/>
      </c>
      <c r="G335" s="256"/>
      <c r="H335" s="458" t="str">
        <f>_xlfn.CONCAT(_xlfn.XLOOKUP("[S08_PriorPenaltiesEnforcedDetail][12][ReportinYear]",Submission!$O:$O,Submission!$H:$N,""))</f>
        <v/>
      </c>
      <c r="I335" s="459"/>
    </row>
    <row r="336" spans="2:9" hidden="1" outlineLevel="1" x14ac:dyDescent="0.3">
      <c r="C336" s="255" t="str">
        <f>_xlfn.CONCAT(_xlfn.XLOOKUP("[S08_PriorPenaltiesEnforcedDetail][13][TypeInfringement]",Submission!$O:$O,Submission!$H:$N,""))</f>
        <v/>
      </c>
      <c r="D336" s="460"/>
      <c r="E336" s="256"/>
      <c r="F336" s="255" t="str">
        <f>_xlfn.CONCAT(_xlfn.XLOOKUP("[S08_PriorPenaltiesEnforcedDetail][13][TypePenalty]",Submission!$O:$O,Submission!$H:$N,""))</f>
        <v/>
      </c>
      <c r="G336" s="256"/>
      <c r="H336" s="458" t="str">
        <f>_xlfn.CONCAT(_xlfn.XLOOKUP("[S08_PriorPenaltiesEnforcedDetail][13][ReportinYear]",Submission!$O:$O,Submission!$H:$N,""))</f>
        <v/>
      </c>
      <c r="I336" s="459"/>
    </row>
    <row r="337" spans="2:10" hidden="1" outlineLevel="1" x14ac:dyDescent="0.3">
      <c r="C337" s="255" t="str">
        <f>_xlfn.CONCAT(_xlfn.XLOOKUP("[S08_PriorPenaltiesEnforcedDetail][14][TypeInfringement]",Submission!$O:$O,Submission!$H:$N,""))</f>
        <v/>
      </c>
      <c r="D337" s="460"/>
      <c r="E337" s="256"/>
      <c r="F337" s="255" t="str">
        <f>_xlfn.CONCAT(_xlfn.XLOOKUP("[S08_PriorPenaltiesEnforcedDetail][14][TypePenalty]",Submission!$O:$O,Submission!$H:$N,""))</f>
        <v/>
      </c>
      <c r="G337" s="256"/>
      <c r="H337" s="458" t="str">
        <f>_xlfn.CONCAT(_xlfn.XLOOKUP("[S08_PriorPenaltiesEnforcedDetail][14][ReportinYear]",Submission!$O:$O,Submission!$H:$N,""))</f>
        <v/>
      </c>
      <c r="I337" s="459"/>
    </row>
    <row r="338" spans="2:10" hidden="1" outlineLevel="1" x14ac:dyDescent="0.3">
      <c r="C338" s="255" t="str">
        <f>_xlfn.CONCAT(_xlfn.XLOOKUP("[S08_PriorPenaltiesEnforcedDetail][15][TypeInfringement]",Submission!$O:$O,Submission!$H:$N,""))</f>
        <v/>
      </c>
      <c r="D338" s="460"/>
      <c r="E338" s="256"/>
      <c r="F338" s="255" t="str">
        <f>_xlfn.CONCAT(_xlfn.XLOOKUP("[S08_PriorPenaltiesEnforcedDetail][15][TypePenalty]",Submission!$O:$O,Submission!$H:$N,""))</f>
        <v/>
      </c>
      <c r="G338" s="256"/>
      <c r="H338" s="458" t="str">
        <f>_xlfn.CONCAT(_xlfn.XLOOKUP("[S08_PriorPenaltiesEnforcedDetail][15][ReportinYear]",Submission!$O:$O,Submission!$H:$N,""))</f>
        <v/>
      </c>
      <c r="I338" s="459"/>
    </row>
    <row r="339" spans="2:10" hidden="1" outlineLevel="1" x14ac:dyDescent="0.3">
      <c r="C339" s="255" t="str">
        <f>_xlfn.CONCAT(_xlfn.XLOOKUP("[S08_PriorPenaltiesEnforcedDetail][16][TypeInfringement]",Submission!$O:$O,Submission!$H:$N,""))</f>
        <v/>
      </c>
      <c r="D339" s="460"/>
      <c r="E339" s="256"/>
      <c r="F339" s="255" t="str">
        <f>_xlfn.CONCAT(_xlfn.XLOOKUP("[S08_PriorPenaltiesEnforcedDetail][16][TypePenalty]",Submission!$O:$O,Submission!$H:$N,""))</f>
        <v/>
      </c>
      <c r="G339" s="256"/>
      <c r="H339" s="458" t="str">
        <f>_xlfn.CONCAT(_xlfn.XLOOKUP("[S08_PriorPenaltiesEnforcedDetail][16][ReportinYear]",Submission!$O:$O,Submission!$H:$N,""))</f>
        <v/>
      </c>
      <c r="I339" s="459"/>
    </row>
    <row r="340" spans="2:10" hidden="1" outlineLevel="1" x14ac:dyDescent="0.3">
      <c r="C340" s="255" t="str">
        <f>_xlfn.CONCAT(_xlfn.XLOOKUP("[S08_PriorPenaltiesEnforcedDetail][17][TypeInfringement]",Submission!$O:$O,Submission!$H:$N,""))</f>
        <v/>
      </c>
      <c r="D340" s="460"/>
      <c r="E340" s="256"/>
      <c r="F340" s="255" t="str">
        <f>_xlfn.CONCAT(_xlfn.XLOOKUP("[S08_PriorPenaltiesEnforcedDetail][17][TypePenalty]",Submission!$O:$O,Submission!$H:$N,""))</f>
        <v/>
      </c>
      <c r="G340" s="256"/>
      <c r="H340" s="458" t="str">
        <f>_xlfn.CONCAT(_xlfn.XLOOKUP("[S08_PriorPenaltiesEnforcedDetail][17][ReportinYear]",Submission!$O:$O,Submission!$H:$N,""))</f>
        <v/>
      </c>
      <c r="I340" s="459"/>
    </row>
    <row r="341" spans="2:10" collapsed="1" x14ac:dyDescent="0.3">
      <c r="B341" s="26" t="s">
        <v>1000</v>
      </c>
      <c r="C341" s="16"/>
      <c r="D341" s="19"/>
      <c r="E341" s="11"/>
      <c r="F341" s="11"/>
      <c r="G341" s="11"/>
      <c r="H341" s="11"/>
      <c r="I341" s="11"/>
    </row>
    <row r="342" spans="2:10" x14ac:dyDescent="0.3">
      <c r="C342" s="418" t="s">
        <v>1248</v>
      </c>
      <c r="D342" s="477"/>
      <c r="E342" s="477"/>
      <c r="F342" s="477"/>
      <c r="G342" s="477"/>
      <c r="H342" s="477"/>
      <c r="I342" s="477"/>
      <c r="J342" s="477"/>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09" t="s">
        <v>545</v>
      </c>
      <c r="C3" s="309"/>
      <c r="D3" s="309"/>
      <c r="E3" s="309"/>
      <c r="F3" s="309"/>
      <c r="G3" s="309"/>
      <c r="H3" s="309"/>
      <c r="I3" s="309"/>
    </row>
    <row r="4" spans="1:9" s="7" customFormat="1" ht="18.899999999999999" customHeight="1" x14ac:dyDescent="0.35">
      <c r="A4" s="107" t="s">
        <v>546</v>
      </c>
      <c r="B4" s="523" t="s">
        <v>74</v>
      </c>
      <c r="C4" s="523"/>
      <c r="D4" s="523"/>
      <c r="E4" s="523"/>
      <c r="F4" s="523"/>
      <c r="G4" s="523"/>
      <c r="H4" s="523"/>
      <c r="I4" s="524"/>
    </row>
    <row r="5" spans="1:9" ht="15.9" customHeight="1" x14ac:dyDescent="0.25">
      <c r="A5" s="55" t="s">
        <v>547</v>
      </c>
      <c r="B5" s="392" t="s">
        <v>1249</v>
      </c>
      <c r="C5" s="393"/>
      <c r="D5" s="393"/>
      <c r="E5" s="393"/>
      <c r="F5" s="393"/>
      <c r="G5" s="393"/>
      <c r="H5" s="393"/>
      <c r="I5" s="393"/>
    </row>
    <row r="6" spans="1:9" ht="16.95" customHeight="1" x14ac:dyDescent="0.3">
      <c r="B6" s="338" t="s">
        <v>1250</v>
      </c>
      <c r="C6" s="308"/>
      <c r="D6" s="308"/>
      <c r="E6" s="308"/>
      <c r="F6" s="308"/>
      <c r="G6" s="308"/>
      <c r="H6" s="345"/>
      <c r="I6" s="41" t="str">
        <f>_xlfn.CONCAT(_xlfn.XLOOKUP("[InstallationOperatorFees][0][InstallationOperatorFees]",Submission!$O:$O,Submission!$H:$N,""))</f>
        <v>Yes</v>
      </c>
    </row>
    <row r="7" spans="1:9" ht="16.95" customHeight="1" x14ac:dyDescent="0.3">
      <c r="B7" s="307" t="s">
        <v>1251</v>
      </c>
      <c r="C7" s="467"/>
      <c r="D7" s="467"/>
      <c r="E7" s="467"/>
      <c r="F7" s="467"/>
      <c r="G7" s="467"/>
      <c r="H7" s="467"/>
      <c r="I7" s="467"/>
    </row>
    <row r="8" spans="1:9" x14ac:dyDescent="0.3">
      <c r="C8" s="435" t="s">
        <v>1145</v>
      </c>
      <c r="D8" s="436"/>
      <c r="E8" s="436"/>
      <c r="F8" s="437"/>
      <c r="G8" s="435" t="s">
        <v>1146</v>
      </c>
      <c r="H8" s="436"/>
      <c r="I8" s="437"/>
    </row>
    <row r="9" spans="1:9" x14ac:dyDescent="0.3">
      <c r="C9" s="468" t="s">
        <v>1252</v>
      </c>
      <c r="D9" s="469"/>
      <c r="E9" s="469"/>
      <c r="F9" s="470"/>
      <c r="G9" s="461" t="str">
        <f>_xlfn.CONCAT(_xlfn.XLOOKUP("[S09_InstallationOperatorFeesPermits][1][FeesAmount]",Submission!$O:$O,Submission!$H:$N,""))</f>
        <v>400</v>
      </c>
      <c r="H9" s="465"/>
      <c r="I9" s="462"/>
    </row>
    <row r="10" spans="1:9" x14ac:dyDescent="0.3">
      <c r="C10" s="468" t="s">
        <v>1253</v>
      </c>
      <c r="D10" s="469"/>
      <c r="E10" s="469"/>
      <c r="F10" s="470"/>
      <c r="G10" s="461" t="str">
        <f>_xlfn.CONCAT(_xlfn.XLOOKUP("[S09_InstallationOperatorFeesPermits][2][FeesAmount]",Submission!$O:$O,Submission!$H:$N,""))</f>
        <v>0</v>
      </c>
      <c r="H10" s="465"/>
      <c r="I10" s="462"/>
    </row>
    <row r="11" spans="1:9" x14ac:dyDescent="0.3">
      <c r="C11" s="468" t="s">
        <v>1254</v>
      </c>
      <c r="D11" s="469"/>
      <c r="E11" s="469"/>
      <c r="F11" s="470"/>
      <c r="G11" s="461" t="str">
        <f>_xlfn.CONCAT(_xlfn.XLOOKUP("[S09_InstallationOperatorFeesPermits][3][FeesAmount]",Submission!$O:$O,Submission!$H:$N,""))</f>
        <v>0</v>
      </c>
      <c r="H11" s="465"/>
      <c r="I11" s="462"/>
    </row>
    <row r="12" spans="1:9" x14ac:dyDescent="0.3">
      <c r="C12" s="468" t="s">
        <v>1255</v>
      </c>
      <c r="D12" s="469"/>
      <c r="E12" s="469"/>
      <c r="F12" s="470"/>
      <c r="G12" s="461" t="str">
        <f>_xlfn.CONCAT(_xlfn.XLOOKUP("[S09_InstallationOperatorFeesPermits][4][FeesAmount]",Submission!$O:$O,Submission!$H:$N,""))</f>
        <v>0</v>
      </c>
      <c r="H12" s="465"/>
      <c r="I12" s="462"/>
    </row>
    <row r="13" spans="1:9" x14ac:dyDescent="0.3">
      <c r="C13" s="468" t="s">
        <v>1256</v>
      </c>
      <c r="D13" s="469"/>
      <c r="E13" s="469"/>
      <c r="F13" s="470"/>
      <c r="G13" s="461" t="str">
        <f>_xlfn.CONCAT(_xlfn.XLOOKUP("[S09_InstallationOperatorFeesPermits][5][FeesAmount]",Submission!$O:$O,Submission!$H:$N,""))</f>
        <v>0</v>
      </c>
      <c r="H13" s="465"/>
      <c r="I13" s="462"/>
    </row>
    <row r="14" spans="1:9" x14ac:dyDescent="0.3">
      <c r="C14" s="93" t="s">
        <v>697</v>
      </c>
      <c r="D14" s="520" t="str">
        <f>_xlfn.CONCAT(_xlfn.XLOOKUP("[S09_InstallationOperatorFeesPermits][6][FeesOther]",Submission!$O:$O,Submission!$H:$N,""))</f>
        <v/>
      </c>
      <c r="E14" s="521"/>
      <c r="F14" s="522"/>
      <c r="G14" s="351" t="str">
        <f>_xlfn.CONCAT(_xlfn.XLOOKUP("[S09_InstallationOperatorFeesPermits][6][FeesAmount]",Submission!$O:$O,Submission!$H:$N,""))</f>
        <v/>
      </c>
      <c r="H14" s="363"/>
      <c r="I14" s="361"/>
    </row>
    <row r="15" spans="1:9" hidden="1" outlineLevel="1" x14ac:dyDescent="0.3">
      <c r="C15" s="93" t="s">
        <v>1257</v>
      </c>
      <c r="D15" s="520" t="str">
        <f>_xlfn.CONCAT(_xlfn.XLOOKUP("[S09_InstallationOperatorFeesPermits][7][FeesOther]",Submission!$O:$O,Submission!$H:$N,""))</f>
        <v/>
      </c>
      <c r="E15" s="521"/>
      <c r="F15" s="522"/>
      <c r="G15" s="351" t="str">
        <f>_xlfn.CONCAT(_xlfn.XLOOKUP("[S09_InstallationOperatorFeesPermits][7][FeesAmount]",Submission!$O:$O,Submission!$H:$N,""))</f>
        <v/>
      </c>
      <c r="H15" s="363"/>
      <c r="I15" s="361"/>
    </row>
    <row r="16" spans="1:9" hidden="1" outlineLevel="1" x14ac:dyDescent="0.3">
      <c r="C16" s="93" t="s">
        <v>1258</v>
      </c>
      <c r="D16" s="520" t="str">
        <f>_xlfn.CONCAT(_xlfn.XLOOKUP("[S09_InstallationOperatorFeesPermits][8][FeesOther]",Submission!$O:$O,Submission!$H:$N,""))</f>
        <v/>
      </c>
      <c r="E16" s="521"/>
      <c r="F16" s="522"/>
      <c r="G16" s="351" t="str">
        <f>_xlfn.CONCAT(_xlfn.XLOOKUP("[S09_InstallationOperatorFeesPermits][8][FeesAmount]",Submission!$O:$O,Submission!$H:$N,""))</f>
        <v/>
      </c>
      <c r="H16" s="363"/>
      <c r="I16" s="361"/>
    </row>
    <row r="17" spans="1:9" hidden="1" outlineLevel="1" x14ac:dyDescent="0.3">
      <c r="C17" s="93" t="s">
        <v>1259</v>
      </c>
      <c r="D17" s="520" t="str">
        <f>_xlfn.CONCAT(_xlfn.XLOOKUP("[S09_InstallationOperatorFeesPermits][9][FeesOther]",Submission!$O:$O,Submission!$H:$N,""))</f>
        <v/>
      </c>
      <c r="E17" s="521"/>
      <c r="F17" s="522"/>
      <c r="G17" s="351" t="str">
        <f>_xlfn.CONCAT(_xlfn.XLOOKUP("[S09_InstallationOperatorFeesPermits][9][FeesAmount]",Submission!$O:$O,Submission!$H:$N,""))</f>
        <v/>
      </c>
      <c r="H17" s="363"/>
      <c r="I17" s="361"/>
    </row>
    <row r="18" spans="1:9" collapsed="1" x14ac:dyDescent="0.3">
      <c r="B18" s="26" t="s">
        <v>1000</v>
      </c>
      <c r="C18" s="16"/>
      <c r="D18" s="19"/>
      <c r="E18" s="11"/>
      <c r="F18" s="11"/>
      <c r="G18" s="11"/>
      <c r="H18" s="11"/>
      <c r="I18" s="11"/>
    </row>
    <row r="20" spans="1:9" x14ac:dyDescent="0.3">
      <c r="B20" s="467" t="s">
        <v>1260</v>
      </c>
      <c r="C20" s="467"/>
      <c r="D20" s="467"/>
      <c r="E20" s="467"/>
      <c r="F20" s="467"/>
      <c r="G20" s="467"/>
      <c r="H20" s="467"/>
      <c r="I20" s="467"/>
    </row>
    <row r="21" spans="1:9" x14ac:dyDescent="0.3">
      <c r="C21" s="357" t="s">
        <v>1145</v>
      </c>
      <c r="D21" s="357"/>
      <c r="E21" s="357"/>
      <c r="F21" s="357"/>
      <c r="G21" s="422" t="s">
        <v>1146</v>
      </c>
      <c r="H21" s="357"/>
      <c r="I21" s="357"/>
    </row>
    <row r="22" spans="1:9" x14ac:dyDescent="0.3">
      <c r="C22" s="383" t="s">
        <v>1261</v>
      </c>
      <c r="D22" s="383"/>
      <c r="E22" s="383"/>
      <c r="F22" s="383"/>
      <c r="G22" s="461" t="str">
        <f>_xlfn.CONCAT(_xlfn.XLOOKUP("[S09_InstallationOperatorFeesSubsistence][1][FeesAmount]",Submission!$O:$O,Submission!$H:$N,""))</f>
        <v/>
      </c>
      <c r="H22" s="465"/>
      <c r="I22" s="462"/>
    </row>
    <row r="23" spans="1:9" x14ac:dyDescent="0.3">
      <c r="C23" s="96" t="s">
        <v>1234</v>
      </c>
      <c r="D23" s="258" t="str">
        <f>_xlfn.CONCAT(_xlfn.XLOOKUP("[S09_InstallationOperatorFeesSubsistence][2][FeesOther]",Submission!$O:$O,Submission!$H:$N,""))</f>
        <v/>
      </c>
      <c r="E23" s="353"/>
      <c r="F23" s="260"/>
      <c r="G23" s="461" t="str">
        <f>_xlfn.CONCAT(_xlfn.XLOOKUP("[S09_InstallationOperatorFeesSubsistence][2][FeesAmount]",Submission!$O:$O,Submission!$H:$N,""))</f>
        <v/>
      </c>
      <c r="H23" s="465"/>
      <c r="I23" s="462"/>
    </row>
    <row r="24" spans="1:9" hidden="1" outlineLevel="1" x14ac:dyDescent="0.3">
      <c r="C24" s="93" t="s">
        <v>1257</v>
      </c>
      <c r="D24" s="520" t="str">
        <f>_xlfn.CONCAT(_xlfn.XLOOKUP("[S09_InstallationOperatorFeesSubsistence][3][FeesOther]",Submission!$O:$O,Submission!$H:$N,""))</f>
        <v/>
      </c>
      <c r="E24" s="521"/>
      <c r="F24" s="522"/>
      <c r="G24" s="351" t="str">
        <f>_xlfn.CONCAT(_xlfn.XLOOKUP("[S09_InstallationOperatorFeesSubsistence][3][FeesAmount]",Submission!$O:$O,Submission!$H:$N,""))</f>
        <v/>
      </c>
      <c r="H24" s="363"/>
      <c r="I24" s="361"/>
    </row>
    <row r="25" spans="1:9" hidden="1" outlineLevel="1" x14ac:dyDescent="0.3">
      <c r="C25" s="93" t="s">
        <v>1258</v>
      </c>
      <c r="D25" s="520" t="str">
        <f>_xlfn.CONCAT(_xlfn.XLOOKUP("[S09_InstallationOperatorFeesSubsistence][4][FeesOther]",Submission!$O:$O,Submission!$H:$N,""))</f>
        <v/>
      </c>
      <c r="E25" s="521"/>
      <c r="F25" s="522"/>
      <c r="G25" s="351" t="str">
        <f>_xlfn.CONCAT(_xlfn.XLOOKUP("[S09_InstallationOperatorFeesSubsistence][4][FeesAmount]",Submission!$O:$O,Submission!$H:$N,""))</f>
        <v/>
      </c>
      <c r="H25" s="363"/>
      <c r="I25" s="361"/>
    </row>
    <row r="26" spans="1:9" hidden="1" outlineLevel="1" x14ac:dyDescent="0.3">
      <c r="C26" s="93" t="s">
        <v>1259</v>
      </c>
      <c r="D26" s="520" t="str">
        <f>_xlfn.CONCAT(_xlfn.XLOOKUP("[S09_InstallationOperatorFeesSubsistence][5][FeesOther]",Submission!$O:$O,Submission!$H:$N,""))</f>
        <v/>
      </c>
      <c r="E26" s="521"/>
      <c r="F26" s="522"/>
      <c r="G26" s="351" t="str">
        <f>_xlfn.CONCAT(_xlfn.XLOOKUP("[S09_InstallationOperatorFeesSubsistence][5][FeesAmount]",Submission!$O:$O,Submission!$H:$N,""))</f>
        <v/>
      </c>
      <c r="H26" s="363"/>
      <c r="I26" s="361"/>
    </row>
    <row r="27" spans="1:9" collapsed="1" x14ac:dyDescent="0.3">
      <c r="B27" s="26" t="s">
        <v>1000</v>
      </c>
      <c r="C27" s="16"/>
      <c r="D27" s="19"/>
      <c r="E27" s="11"/>
      <c r="F27" s="11"/>
      <c r="G27" s="11"/>
      <c r="H27" s="11"/>
      <c r="I27" s="11"/>
    </row>
    <row r="29" spans="1:9" s="11" customFormat="1" ht="18.899999999999999" customHeight="1" x14ac:dyDescent="0.35">
      <c r="A29" s="107" t="s">
        <v>552</v>
      </c>
      <c r="B29" s="523" t="s">
        <v>97</v>
      </c>
      <c r="C29" s="523"/>
      <c r="D29" s="523"/>
      <c r="E29" s="523"/>
      <c r="F29" s="523"/>
      <c r="G29" s="523"/>
      <c r="H29" s="523"/>
      <c r="I29" s="524"/>
    </row>
    <row r="30" spans="1:9" ht="15.9" customHeight="1" x14ac:dyDescent="0.25">
      <c r="A30" s="55" t="s">
        <v>553</v>
      </c>
      <c r="B30" s="392" t="s">
        <v>1262</v>
      </c>
      <c r="C30" s="393"/>
      <c r="D30" s="393"/>
      <c r="E30" s="393"/>
      <c r="F30" s="393"/>
      <c r="G30" s="393"/>
      <c r="H30" s="393"/>
      <c r="I30" s="393"/>
    </row>
    <row r="31" spans="1:9" ht="16.95" customHeight="1" x14ac:dyDescent="0.3">
      <c r="B31" s="338" t="s">
        <v>1263</v>
      </c>
      <c r="C31" s="308"/>
      <c r="D31" s="308"/>
      <c r="E31" s="308"/>
      <c r="F31" s="308"/>
      <c r="G31" s="308"/>
      <c r="H31" s="345"/>
      <c r="I31" s="41" t="str">
        <f>_xlfn.CONCAT(_xlfn.XLOOKUP("[AircraftOperatorFees][0][AircraftOperatorFees]",Submission!$O:$O,Submission!$H:$N,""))</f>
        <v>No</v>
      </c>
    </row>
    <row r="32" spans="1:9" ht="16.95" customHeight="1" x14ac:dyDescent="0.3">
      <c r="B32" s="307" t="s">
        <v>1264</v>
      </c>
      <c r="C32" s="467"/>
      <c r="D32" s="467"/>
      <c r="E32" s="467"/>
      <c r="F32" s="467"/>
      <c r="G32" s="467"/>
      <c r="H32" s="467"/>
      <c r="I32" s="467"/>
    </row>
    <row r="33" spans="2:9" x14ac:dyDescent="0.3">
      <c r="C33" s="435" t="s">
        <v>1145</v>
      </c>
      <c r="D33" s="436"/>
      <c r="E33" s="436"/>
      <c r="F33" s="437"/>
      <c r="G33" s="435" t="s">
        <v>1146</v>
      </c>
      <c r="H33" s="436"/>
      <c r="I33" s="437"/>
    </row>
    <row r="34" spans="2:9" x14ac:dyDescent="0.3">
      <c r="C34" s="468" t="s">
        <v>1265</v>
      </c>
      <c r="D34" s="469"/>
      <c r="E34" s="469"/>
      <c r="F34" s="470"/>
      <c r="G34" s="461" t="str">
        <f>_xlfn.CONCAT(_xlfn.XLOOKUP("[S09_AircraftOperatorFeesMonitoringPlans][1][FeesAmount]",Submission!$O:$O,Submission!$H:$N,""))</f>
        <v>0</v>
      </c>
      <c r="H34" s="465"/>
      <c r="I34" s="462"/>
    </row>
    <row r="35" spans="2:9" x14ac:dyDescent="0.3">
      <c r="C35" s="468" t="s">
        <v>1266</v>
      </c>
      <c r="D35" s="469"/>
      <c r="E35" s="469"/>
      <c r="F35" s="470"/>
      <c r="G35" s="461" t="str">
        <f>_xlfn.CONCAT(_xlfn.XLOOKUP("[S09_AircraftOperatorFeesMonitoringPlans][2][FeesAmount]",Submission!$O:$O,Submission!$H:$N,""))</f>
        <v>0</v>
      </c>
      <c r="H35" s="465"/>
      <c r="I35" s="462"/>
    </row>
    <row r="36" spans="2:9" x14ac:dyDescent="0.3">
      <c r="C36" s="468" t="s">
        <v>1267</v>
      </c>
      <c r="D36" s="469"/>
      <c r="E36" s="469"/>
      <c r="F36" s="470"/>
      <c r="G36" s="461" t="str">
        <f>_xlfn.CONCAT(_xlfn.XLOOKUP("[S09_AircraftOperatorFeesMonitoringPlans][3][FeesAmount]",Submission!$O:$O,Submission!$H:$N,""))</f>
        <v>0</v>
      </c>
      <c r="H36" s="465"/>
      <c r="I36" s="462"/>
    </row>
    <row r="37" spans="2:9" x14ac:dyDescent="0.3">
      <c r="C37" s="468" t="s">
        <v>1268</v>
      </c>
      <c r="D37" s="469"/>
      <c r="E37" s="469"/>
      <c r="F37" s="470"/>
      <c r="G37" s="461" t="str">
        <f>_xlfn.CONCAT(_xlfn.XLOOKUP("[S09_AircraftOperatorFeesMonitoringPlans][4][FeesAmount]",Submission!$O:$O,Submission!$H:$N,""))</f>
        <v>0</v>
      </c>
      <c r="H37" s="465"/>
      <c r="I37" s="462"/>
    </row>
    <row r="38" spans="2:9" x14ac:dyDescent="0.3">
      <c r="C38" s="468" t="s">
        <v>1269</v>
      </c>
      <c r="D38" s="469"/>
      <c r="E38" s="469"/>
      <c r="F38" s="470"/>
      <c r="G38" s="461" t="str">
        <f>_xlfn.CONCAT(_xlfn.XLOOKUP("[S09_AircraftOperatorFeesMonitoringPlans][5][FeesAmount]",Submission!$O:$O,Submission!$H:$N,""))</f>
        <v>0</v>
      </c>
      <c r="H38" s="465"/>
      <c r="I38" s="462"/>
    </row>
    <row r="39" spans="2:9" x14ac:dyDescent="0.3">
      <c r="C39" s="468" t="s">
        <v>1270</v>
      </c>
      <c r="D39" s="469"/>
      <c r="E39" s="469"/>
      <c r="F39" s="470"/>
      <c r="G39" s="461" t="str">
        <f>_xlfn.CONCAT(_xlfn.XLOOKUP("[S09_AircraftOperatorFeesMonitoringPlans][6][FeesAmount]",Submission!$O:$O,Submission!$H:$N,""))</f>
        <v>0</v>
      </c>
      <c r="H39" s="465"/>
      <c r="I39" s="462"/>
    </row>
    <row r="40" spans="2:9" x14ac:dyDescent="0.3">
      <c r="C40" s="93" t="s">
        <v>1234</v>
      </c>
      <c r="D40" s="520" t="str">
        <f>_xlfn.CONCAT(_xlfn.XLOOKUP("[S09_AircraftOperatorFeesMonitoringPlans][7][FeesOther]",Submission!$O:$O,Submission!$H:$N,""))</f>
        <v/>
      </c>
      <c r="E40" s="521"/>
      <c r="F40" s="522"/>
      <c r="G40" s="461" t="str">
        <f>_xlfn.CONCAT(_xlfn.XLOOKUP("[S09_AircraftOperatorFeesMonitoringPlans][7][FeesAmount]",Submission!$O:$O,Submission!$H:$N,""))</f>
        <v/>
      </c>
      <c r="H40" s="465"/>
      <c r="I40" s="462"/>
    </row>
    <row r="41" spans="2:9" hidden="1" outlineLevel="1" x14ac:dyDescent="0.3">
      <c r="C41" s="93" t="s">
        <v>1257</v>
      </c>
      <c r="D41" s="520" t="str">
        <f>_xlfn.CONCAT(_xlfn.XLOOKUP("[S09_AircraftOperatorFeesMonitoringPlans][8][FeesOther]",Submission!$O:$O,Submission!$H:$N,""))</f>
        <v/>
      </c>
      <c r="E41" s="521"/>
      <c r="F41" s="522"/>
      <c r="G41" s="351" t="str">
        <f>_xlfn.CONCAT(_xlfn.XLOOKUP("[S09_AircraftOperatorFeesMonitoringPlans][8][FeesAmount]",Submission!$O:$O,Submission!$H:$N,""))</f>
        <v/>
      </c>
      <c r="H41" s="363"/>
      <c r="I41" s="361"/>
    </row>
    <row r="42" spans="2:9" hidden="1" outlineLevel="1" x14ac:dyDescent="0.3">
      <c r="C42" s="93" t="s">
        <v>1258</v>
      </c>
      <c r="D42" s="520" t="str">
        <f>_xlfn.CONCAT(_xlfn.XLOOKUP("[S09_AircraftOperatorFeesMonitoringPlans][9][FeesOther]",Submission!$O:$O,Submission!$H:$N,""))</f>
        <v/>
      </c>
      <c r="E42" s="521"/>
      <c r="F42" s="522"/>
      <c r="G42" s="351" t="str">
        <f>_xlfn.CONCAT(_xlfn.XLOOKUP("[S09_AircraftOperatorFeesMonitoringPlans][9][FeesAmount]",Submission!$O:$O,Submission!$H:$N,""))</f>
        <v/>
      </c>
      <c r="H42" s="363"/>
      <c r="I42" s="361"/>
    </row>
    <row r="43" spans="2:9" hidden="1" outlineLevel="1" x14ac:dyDescent="0.3">
      <c r="C43" s="93" t="s">
        <v>1259</v>
      </c>
      <c r="D43" s="520" t="str">
        <f>_xlfn.CONCAT(_xlfn.XLOOKUP("[S09_AircraftOperatorFeesMonitoringPlans][10][FeesOther]",Submission!$O:$O,Submission!$H:$N,""))</f>
        <v/>
      </c>
      <c r="E43" s="521"/>
      <c r="F43" s="522"/>
      <c r="G43" s="351" t="str">
        <f>_xlfn.CONCAT(_xlfn.XLOOKUP("[S09_AircraftOperatorFeesMonitoringPlans][10][FeesAmount]",Submission!$O:$O,Submission!$H:$N,""))</f>
        <v/>
      </c>
      <c r="H43" s="363"/>
      <c r="I43" s="361"/>
    </row>
    <row r="44" spans="2:9" collapsed="1" x14ac:dyDescent="0.3">
      <c r="B44" s="26" t="s">
        <v>1000</v>
      </c>
      <c r="C44" s="16"/>
      <c r="D44" s="19"/>
      <c r="E44" s="11"/>
      <c r="F44" s="11"/>
      <c r="G44" s="11"/>
      <c r="H44" s="11"/>
      <c r="I44" s="11"/>
    </row>
    <row r="46" spans="2:9" x14ac:dyDescent="0.3">
      <c r="B46" s="467" t="s">
        <v>1271</v>
      </c>
      <c r="C46" s="467"/>
      <c r="D46" s="467"/>
      <c r="E46" s="467"/>
      <c r="F46" s="467"/>
      <c r="G46" s="467"/>
      <c r="H46" s="467"/>
      <c r="I46" s="467"/>
    </row>
    <row r="47" spans="2:9" x14ac:dyDescent="0.3">
      <c r="C47" s="357" t="s">
        <v>1145</v>
      </c>
      <c r="D47" s="357"/>
      <c r="E47" s="357"/>
      <c r="F47" s="357"/>
      <c r="G47" s="422" t="s">
        <v>1146</v>
      </c>
      <c r="H47" s="357"/>
      <c r="I47" s="357"/>
    </row>
    <row r="48" spans="2:9" x14ac:dyDescent="0.3">
      <c r="C48" s="383" t="s">
        <v>1261</v>
      </c>
      <c r="D48" s="383"/>
      <c r="E48" s="383"/>
      <c r="F48" s="383"/>
      <c r="G48" s="461" t="str">
        <f>_xlfn.CONCAT(_xlfn.XLOOKUP("[S09_AircraftOperatorFeesSubsistence][1][FeesAmount]",Submission!$O:$O,Submission!$H:$N,""))</f>
        <v/>
      </c>
      <c r="H48" s="465"/>
      <c r="I48" s="462"/>
    </row>
    <row r="49" spans="1:9" x14ac:dyDescent="0.3">
      <c r="C49" s="93" t="s">
        <v>1234</v>
      </c>
      <c r="D49" s="525" t="str">
        <f>_xlfn.CONCAT(_xlfn.XLOOKUP("[S09_AircraftOperatorFeesSubsistence][2][FeesOther]",Submission!$O:$O,Submission!$H:$N,""))</f>
        <v/>
      </c>
      <c r="E49" s="369"/>
      <c r="F49" s="259"/>
      <c r="G49" s="461" t="str">
        <f>_xlfn.CONCAT(_xlfn.XLOOKUP("[S09_AircraftOperatorFeesSubsistence][2][FeesAmount]",Submission!$O:$O,Submission!$H:$N,""))</f>
        <v/>
      </c>
      <c r="H49" s="465"/>
      <c r="I49" s="462"/>
    </row>
    <row r="50" spans="1:9" hidden="1" outlineLevel="1" x14ac:dyDescent="0.3">
      <c r="C50" s="93" t="s">
        <v>1257</v>
      </c>
      <c r="D50" s="520" t="str">
        <f>_xlfn.CONCAT(_xlfn.XLOOKUP("[S09_AircraftOperatorFeesSubsistence][3][FeesOther]",Submission!$O:$O,Submission!$H:$N,""))</f>
        <v/>
      </c>
      <c r="E50" s="521"/>
      <c r="F50" s="522"/>
      <c r="G50" s="351" t="str">
        <f>_xlfn.CONCAT(_xlfn.XLOOKUP("[S09_AircraftOperatorFeesSubsistence][3][FeesAmount]",Submission!$O:$O,Submission!$H:$N,""))</f>
        <v/>
      </c>
      <c r="H50" s="363"/>
      <c r="I50" s="361"/>
    </row>
    <row r="51" spans="1:9" hidden="1" outlineLevel="1" x14ac:dyDescent="0.3">
      <c r="C51" s="93" t="s">
        <v>1258</v>
      </c>
      <c r="D51" s="520" t="str">
        <f>_xlfn.CONCAT(_xlfn.XLOOKUP("[S09_AircraftOperatorFeesSubsistence][4][FeesOther]",Submission!$O:$O,Submission!$H:$N,""))</f>
        <v/>
      </c>
      <c r="E51" s="521"/>
      <c r="F51" s="522"/>
      <c r="G51" s="351" t="str">
        <f>_xlfn.CONCAT(_xlfn.XLOOKUP("[S09_AircraftOperatorFeesSubsistence][4][FeesAmount]",Submission!$O:$O,Submission!$H:$N,""))</f>
        <v/>
      </c>
      <c r="H51" s="363"/>
      <c r="I51" s="361"/>
    </row>
    <row r="52" spans="1:9" hidden="1" outlineLevel="1" x14ac:dyDescent="0.3">
      <c r="C52" s="93" t="s">
        <v>1259</v>
      </c>
      <c r="D52" s="520" t="str">
        <f>_xlfn.CONCAT(_xlfn.XLOOKUP("[S09_AircraftOperatorFeesSubsistence][5][FeesOther]",Submission!$O:$O,Submission!$H:$N,""))</f>
        <v/>
      </c>
      <c r="E52" s="521"/>
      <c r="F52" s="522"/>
      <c r="G52" s="351" t="str">
        <f>_xlfn.CONCAT(_xlfn.XLOOKUP("[S09_AircraftOperatorFeesSubsistence][5][FeesAmount]",Submission!$O:$O,Submission!$H:$N,""))</f>
        <v/>
      </c>
      <c r="H52" s="363"/>
      <c r="I52" s="361"/>
    </row>
    <row r="53" spans="1:9" collapsed="1" x14ac:dyDescent="0.3">
      <c r="B53" s="26" t="s">
        <v>1000</v>
      </c>
      <c r="C53" s="16"/>
      <c r="D53" s="19"/>
      <c r="E53" s="11"/>
      <c r="F53" s="11"/>
      <c r="G53" s="11"/>
      <c r="H53" s="11"/>
      <c r="I53" s="11"/>
    </row>
    <row r="55" spans="1:9" s="11" customFormat="1" ht="18.899999999999999" customHeight="1" x14ac:dyDescent="0.35">
      <c r="A55" s="107" t="s">
        <v>557</v>
      </c>
      <c r="B55" s="523" t="s">
        <v>558</v>
      </c>
      <c r="C55" s="523"/>
      <c r="D55" s="523"/>
      <c r="E55" s="523"/>
      <c r="F55" s="523"/>
      <c r="G55" s="523"/>
      <c r="H55" s="523"/>
      <c r="I55" s="524"/>
    </row>
    <row r="56" spans="1:9" ht="15.9" customHeight="1" x14ac:dyDescent="0.25">
      <c r="A56" s="55" t="s">
        <v>559</v>
      </c>
      <c r="B56" s="392" t="s">
        <v>1272</v>
      </c>
      <c r="C56" s="393"/>
      <c r="D56" s="393"/>
      <c r="E56" s="393"/>
      <c r="F56" s="393"/>
      <c r="G56" s="393"/>
      <c r="H56" s="393"/>
      <c r="I56" s="393"/>
    </row>
    <row r="57" spans="1:9" x14ac:dyDescent="0.3">
      <c r="B57" s="467" t="s">
        <v>1273</v>
      </c>
      <c r="C57" s="467"/>
      <c r="D57" s="467"/>
      <c r="E57" s="467"/>
      <c r="F57" s="467"/>
      <c r="G57" s="467"/>
      <c r="H57" s="467"/>
      <c r="I57" s="467"/>
    </row>
    <row r="58" spans="1:9" ht="15.6" customHeight="1" x14ac:dyDescent="0.3">
      <c r="B58" s="25"/>
      <c r="C58" s="519" t="s">
        <v>1274</v>
      </c>
      <c r="D58" s="519"/>
      <c r="E58" s="519"/>
      <c r="F58" s="519"/>
      <c r="G58" s="519"/>
      <c r="H58" s="519"/>
      <c r="I58" s="519"/>
    </row>
    <row r="59" spans="1:9" x14ac:dyDescent="0.3">
      <c r="C59" s="357" t="s">
        <v>1145</v>
      </c>
      <c r="D59" s="357"/>
      <c r="E59" s="357"/>
      <c r="F59" s="357"/>
      <c r="G59" s="422" t="s">
        <v>1146</v>
      </c>
      <c r="H59" s="357"/>
      <c r="I59" s="357"/>
    </row>
    <row r="60" spans="1:9" x14ac:dyDescent="0.3">
      <c r="C60" s="255" t="str">
        <f>_xlfn.CONCAT(_xlfn.XLOOKUP("[S09_RegistryAccountOneOffFees][1][OneOffFeeReason]",Submission!$O:$O,Submission!$H:$N,""))</f>
        <v>OpenAccounts</v>
      </c>
      <c r="D60" s="460"/>
      <c r="E60" s="460"/>
      <c r="F60" s="256"/>
      <c r="G60" s="461" t="str">
        <f>_xlfn.CONCAT(_xlfn.XLOOKUP("[S09_RegistryAccountOneOffFees][1][OneOffFeeAmount]",Submission!$O:$O,Submission!$H:$N,""))</f>
        <v>46.5</v>
      </c>
      <c r="H60" s="465"/>
      <c r="I60" s="462"/>
    </row>
    <row r="61" spans="1:9" x14ac:dyDescent="0.3">
      <c r="C61" s="255" t="str">
        <f>_xlfn.CONCAT(_xlfn.XLOOKUP("[S09_RegistryAccountOneOffFees][2][OneOffFeeReason]",Submission!$O:$O,Submission!$H:$N,""))</f>
        <v/>
      </c>
      <c r="D61" s="460"/>
      <c r="E61" s="460"/>
      <c r="F61" s="256"/>
      <c r="G61" s="461" t="str">
        <f>_xlfn.CONCAT(_xlfn.XLOOKUP("[S09_RegistryAccountOneOffFees][2][OneOffFeeAmount]",Submission!$O:$O,Submission!$H:$N,""))</f>
        <v/>
      </c>
      <c r="H61" s="465"/>
      <c r="I61" s="462"/>
    </row>
    <row r="62" spans="1:9" x14ac:dyDescent="0.3">
      <c r="C62" s="255" t="str">
        <f>_xlfn.CONCAT(_xlfn.XLOOKUP("[S09_RegistryAccountOneOffFees][3][OneOffFeeReason]",Submission!$O:$O,Submission!$H:$N,""))</f>
        <v/>
      </c>
      <c r="D62" s="460"/>
      <c r="E62" s="460"/>
      <c r="F62" s="256"/>
      <c r="G62" s="461" t="str">
        <f>_xlfn.CONCAT(_xlfn.XLOOKUP("[S09_RegistryAccountOneOffFees][3][OneOffFeeAmount]",Submission!$O:$O,Submission!$H:$N,""))</f>
        <v/>
      </c>
      <c r="H62" s="465"/>
      <c r="I62" s="462"/>
    </row>
    <row r="63" spans="1:9" x14ac:dyDescent="0.3">
      <c r="C63" s="255" t="str">
        <f>_xlfn.CONCAT(_xlfn.XLOOKUP("[S09_RegistryAccountOneOffFees][4][OneOffFeeReason]",Submission!$O:$O,Submission!$H:$N,""))</f>
        <v/>
      </c>
      <c r="D63" s="460"/>
      <c r="E63" s="460"/>
      <c r="F63" s="256"/>
      <c r="G63" s="461" t="str">
        <f>_xlfn.CONCAT(_xlfn.XLOOKUP("[S09_RegistryAccountOneOffFees][4][OneOffFeeAmount]",Submission!$O:$O,Submission!$H:$N,""))</f>
        <v/>
      </c>
      <c r="H63" s="465"/>
      <c r="I63" s="462"/>
    </row>
    <row r="64" spans="1:9" x14ac:dyDescent="0.3">
      <c r="C64" s="255" t="str">
        <f>_xlfn.CONCAT(_xlfn.XLOOKUP("[S09_RegistryAccountOneOffFees][5][OneOffFeeReason]",Submission!$O:$O,Submission!$H:$N,""))</f>
        <v/>
      </c>
      <c r="D64" s="460"/>
      <c r="E64" s="460"/>
      <c r="F64" s="256"/>
      <c r="G64" s="461" t="str">
        <f>_xlfn.CONCAT(_xlfn.XLOOKUP("[S09_RegistryAccountOneOffFees][5][OneOffFeeAmount]",Submission!$O:$O,Submission!$H:$N,""))</f>
        <v/>
      </c>
      <c r="H64" s="465"/>
      <c r="I64" s="462"/>
    </row>
    <row r="65" spans="2:9" hidden="1" outlineLevel="1" x14ac:dyDescent="0.3">
      <c r="C65" s="255" t="str">
        <f>_xlfn.CONCAT(_xlfn.XLOOKUP("[S09_RegistryAccountOneOffFees][6][OneOffFeeReason]",Submission!$O:$O,Submission!$H:$N,""))</f>
        <v/>
      </c>
      <c r="D65" s="460"/>
      <c r="E65" s="460"/>
      <c r="F65" s="256"/>
      <c r="G65" s="461" t="str">
        <f>_xlfn.CONCAT(_xlfn.XLOOKUP("[S09_RegistryAccountOneOffFees][6][OneOffFeeAmount]",Submission!$O:$O,Submission!$H:$N,""))</f>
        <v/>
      </c>
      <c r="H65" s="465"/>
      <c r="I65" s="462"/>
    </row>
    <row r="66" spans="2:9" hidden="1" outlineLevel="1" x14ac:dyDescent="0.3">
      <c r="C66" s="255" t="str">
        <f>_xlfn.CONCAT(_xlfn.XLOOKUP("[S09_RegistryAccountOneOffFees][7][OneOffFeeReason]",Submission!$O:$O,Submission!$H:$N,""))</f>
        <v/>
      </c>
      <c r="D66" s="460"/>
      <c r="E66" s="460"/>
      <c r="F66" s="256"/>
      <c r="G66" s="461" t="str">
        <f>_xlfn.CONCAT(_xlfn.XLOOKUP("[S09_RegistryAccountOneOffFees][7][OneOffFeeAmount]",Submission!$O:$O,Submission!$H:$N,""))</f>
        <v/>
      </c>
      <c r="H66" s="465"/>
      <c r="I66" s="462"/>
    </row>
    <row r="67" spans="2:9" hidden="1" outlineLevel="1" x14ac:dyDescent="0.3">
      <c r="C67" s="255" t="str">
        <f>_xlfn.CONCAT(_xlfn.XLOOKUP("[S09_RegistryAccountOneOffFees][8][OneOffFeeReason]",Submission!$O:$O,Submission!$H:$N,""))</f>
        <v/>
      </c>
      <c r="D67" s="460"/>
      <c r="E67" s="460"/>
      <c r="F67" s="256"/>
      <c r="G67" s="461" t="str">
        <f>_xlfn.CONCAT(_xlfn.XLOOKUP("[S09_RegistryAccountOneOffFees][8][OneOffFeeAmount]",Submission!$O:$O,Submission!$H:$N,""))</f>
        <v/>
      </c>
      <c r="H67" s="465"/>
      <c r="I67" s="462"/>
    </row>
    <row r="68" spans="2:9" hidden="1" outlineLevel="1" x14ac:dyDescent="0.3">
      <c r="C68" s="255" t="str">
        <f>_xlfn.CONCAT(_xlfn.XLOOKUP("[S09_RegistryAccountOneOffFees][9][OneOffFeeReason]",Submission!$O:$O,Submission!$H:$N,""))</f>
        <v/>
      </c>
      <c r="D68" s="460"/>
      <c r="E68" s="460"/>
      <c r="F68" s="256"/>
      <c r="G68" s="461" t="str">
        <f>_xlfn.CONCAT(_xlfn.XLOOKUP("[S09_RegistryAccountOneOffFees][9][OneOffFeeAmount]",Submission!$O:$O,Submission!$H:$N,""))</f>
        <v/>
      </c>
      <c r="H68" s="465"/>
      <c r="I68" s="462"/>
    </row>
    <row r="69" spans="2:9" hidden="1" outlineLevel="1" x14ac:dyDescent="0.3">
      <c r="C69" s="255" t="str">
        <f>_xlfn.CONCAT(_xlfn.XLOOKUP("[S09_RegistryAccountOneOffFees][10][OneOffFeeReason]",Submission!$O:$O,Submission!$H:$N,""))</f>
        <v/>
      </c>
      <c r="D69" s="460"/>
      <c r="E69" s="460"/>
      <c r="F69" s="256"/>
      <c r="G69" s="461" t="str">
        <f>_xlfn.CONCAT(_xlfn.XLOOKUP("[S09_RegistryAccountOneOffFees][10][OneOffFeeAmount]",Submission!$O:$O,Submission!$H:$N,""))</f>
        <v/>
      </c>
      <c r="H69" s="465"/>
      <c r="I69" s="462"/>
    </row>
    <row r="70" spans="2:9" collapsed="1" x14ac:dyDescent="0.3">
      <c r="B70" s="26" t="s">
        <v>1000</v>
      </c>
    </row>
    <row r="72" spans="2:9" x14ac:dyDescent="0.3">
      <c r="B72" s="25"/>
      <c r="C72" s="518" t="s">
        <v>1275</v>
      </c>
      <c r="D72" s="518"/>
      <c r="E72" s="518"/>
      <c r="F72" s="518"/>
      <c r="G72" s="518"/>
      <c r="H72" s="518"/>
      <c r="I72" s="518"/>
    </row>
    <row r="73" spans="2:9" x14ac:dyDescent="0.3">
      <c r="C73" s="357" t="s">
        <v>1145</v>
      </c>
      <c r="D73" s="357"/>
      <c r="E73" s="357"/>
      <c r="F73" s="357"/>
      <c r="G73" s="422" t="s">
        <v>1146</v>
      </c>
      <c r="H73" s="357"/>
      <c r="I73" s="357"/>
    </row>
    <row r="74" spans="2:9" x14ac:dyDescent="0.3">
      <c r="C74" s="255" t="str">
        <f>_xlfn.CONCAT(_xlfn.XLOOKUP("[S09_RegistryAccountAnnualFees][1][AnnualFeeReason]",Submission!$O:$O,Submission!$H:$N,""))</f>
        <v>Maintain</v>
      </c>
      <c r="D74" s="460"/>
      <c r="E74" s="460"/>
      <c r="F74" s="256"/>
      <c r="G74" s="461" t="str">
        <f>_xlfn.CONCAT(_xlfn.XLOOKUP("[S09_RegistryAccountAnnualFees][1][AnnualFeeAmount]",Submission!$O:$O,Submission!$H:$N,""))</f>
        <v>93</v>
      </c>
      <c r="H74" s="465"/>
      <c r="I74" s="462"/>
    </row>
    <row r="75" spans="2:9" x14ac:dyDescent="0.3">
      <c r="C75" s="255" t="str">
        <f>_xlfn.CONCAT(_xlfn.XLOOKUP("[S09_RegistryAccountAnnualFees][2][AnnualFeeReason]",Submission!$O:$O,Submission!$H:$N,""))</f>
        <v>FeePerAllow</v>
      </c>
      <c r="D75" s="460"/>
      <c r="E75" s="460"/>
      <c r="F75" s="256"/>
      <c r="G75" s="461" t="str">
        <f>_xlfn.CONCAT(_xlfn.XLOOKUP("[S09_RegistryAccountAnnualFees][2][AnnualFeeAmount]",Submission!$O:$O,Submission!$H:$N,""))</f>
        <v>0.0043</v>
      </c>
      <c r="H75" s="465"/>
      <c r="I75" s="462"/>
    </row>
    <row r="76" spans="2:9" x14ac:dyDescent="0.3">
      <c r="C76" s="255" t="str">
        <f>_xlfn.CONCAT(_xlfn.XLOOKUP("[S09_RegistryAccountAnnualFees][3][AnnualFeeReason]",Submission!$O:$O,Submission!$H:$N,""))</f>
        <v/>
      </c>
      <c r="D76" s="460"/>
      <c r="E76" s="460"/>
      <c r="F76" s="256"/>
      <c r="G76" s="461" t="str">
        <f>_xlfn.CONCAT(_xlfn.XLOOKUP("[S09_RegistryAccountAnnualFees][3][AnnualFeeAmount]",Submission!$O:$O,Submission!$H:$N,""))</f>
        <v/>
      </c>
      <c r="H76" s="465"/>
      <c r="I76" s="462"/>
    </row>
    <row r="77" spans="2:9" x14ac:dyDescent="0.3">
      <c r="C77" s="255" t="str">
        <f>_xlfn.CONCAT(_xlfn.XLOOKUP("[S09_RegistryAccountAnnualFees][4][AnnualFeeReason]",Submission!$O:$O,Submission!$H:$N,""))</f>
        <v/>
      </c>
      <c r="D77" s="460"/>
      <c r="E77" s="460"/>
      <c r="F77" s="256"/>
      <c r="G77" s="461" t="str">
        <f>_xlfn.CONCAT(_xlfn.XLOOKUP("[S09_RegistryAccountAnnualFees][4][AnnualFeeAmount]",Submission!$O:$O,Submission!$H:$N,""))</f>
        <v/>
      </c>
      <c r="H77" s="465"/>
      <c r="I77" s="462"/>
    </row>
    <row r="78" spans="2:9" x14ac:dyDescent="0.3">
      <c r="C78" s="255" t="str">
        <f>_xlfn.CONCAT(_xlfn.XLOOKUP("[S09_RegistryAccountAnnualFees][5][AnnualFeeReason]",Submission!$O:$O,Submission!$H:$N,""))</f>
        <v/>
      </c>
      <c r="D78" s="460"/>
      <c r="E78" s="460"/>
      <c r="F78" s="256"/>
      <c r="G78" s="461" t="str">
        <f>_xlfn.CONCAT(_xlfn.XLOOKUP("[S09_RegistryAccountAnnualFees][5][AnnualFeeAmount]",Submission!$O:$O,Submission!$H:$N,""))</f>
        <v/>
      </c>
      <c r="H78" s="465"/>
      <c r="I78" s="462"/>
    </row>
    <row r="79" spans="2:9" hidden="1" outlineLevel="1" x14ac:dyDescent="0.3">
      <c r="C79" s="255" t="str">
        <f>_xlfn.CONCAT(_xlfn.XLOOKUP("[S09_RegistryAccountAnnualFees][6][AnnualFeeReason]",Submission!$O:$O,Submission!$H:$N,""))</f>
        <v/>
      </c>
      <c r="D79" s="460"/>
      <c r="E79" s="460"/>
      <c r="F79" s="256"/>
      <c r="G79" s="461" t="str">
        <f>_xlfn.CONCAT(_xlfn.XLOOKUP("[S09_RegistryAccountAnnualFees][6][AnnualFeeAmount]",Submission!$O:$O,Submission!$H:$N,""))</f>
        <v/>
      </c>
      <c r="H79" s="465"/>
      <c r="I79" s="462"/>
    </row>
    <row r="80" spans="2:9" hidden="1" outlineLevel="1" x14ac:dyDescent="0.3">
      <c r="C80" s="255" t="str">
        <f>_xlfn.CONCAT(_xlfn.XLOOKUP("[S09_RegistryAccountAnnualFees][7][AnnualFeeReason]",Submission!$O:$O,Submission!$H:$N,""))</f>
        <v/>
      </c>
      <c r="D80" s="460"/>
      <c r="E80" s="460"/>
      <c r="F80" s="256"/>
      <c r="G80" s="461" t="str">
        <f>_xlfn.CONCAT(_xlfn.XLOOKUP("[S09_RegistryAccountAnnualFees][7][AnnualFeeAmount]",Submission!$O:$O,Submission!$H:$N,""))</f>
        <v/>
      </c>
      <c r="H80" s="465"/>
      <c r="I80" s="462"/>
    </row>
    <row r="81" spans="2:9" hidden="1" outlineLevel="1" x14ac:dyDescent="0.3">
      <c r="C81" s="255" t="str">
        <f>_xlfn.CONCAT(_xlfn.XLOOKUP("[S09_RegistryAccountAnnualFees][8][AnnualFeeReason]",Submission!$O:$O,Submission!$H:$N,""))</f>
        <v/>
      </c>
      <c r="D81" s="460"/>
      <c r="E81" s="460"/>
      <c r="F81" s="256"/>
      <c r="G81" s="461" t="str">
        <f>_xlfn.CONCAT(_xlfn.XLOOKUP("[S09_RegistryAccountAnnualFees][8][AnnualFeeAmount]",Submission!$O:$O,Submission!$H:$N,""))</f>
        <v/>
      </c>
      <c r="H81" s="465"/>
      <c r="I81" s="462"/>
    </row>
    <row r="82" spans="2:9" hidden="1" outlineLevel="1" x14ac:dyDescent="0.3">
      <c r="C82" s="255" t="str">
        <f>_xlfn.CONCAT(_xlfn.XLOOKUP("[S09_RegistryAccountAnnualFees][9][AnnualFeeReason]",Submission!$O:$O,Submission!$H:$N,""))</f>
        <v/>
      </c>
      <c r="D82" s="460"/>
      <c r="E82" s="460"/>
      <c r="F82" s="256"/>
      <c r="G82" s="461" t="str">
        <f>_xlfn.CONCAT(_xlfn.XLOOKUP("[S09_RegistryAccountAnnualFees][9][AnnualFeeAmount]",Submission!$O:$O,Submission!$H:$N,""))</f>
        <v/>
      </c>
      <c r="H82" s="465"/>
      <c r="I82" s="462"/>
    </row>
    <row r="83" spans="2:9" hidden="1" outlineLevel="1" x14ac:dyDescent="0.3">
      <c r="C83" s="255" t="str">
        <f>_xlfn.CONCAT(_xlfn.XLOOKUP("[S09_RegistryAccountAnnualFees][10][AnnualFeeReason]",Submission!$O:$O,Submission!$H:$N,""))</f>
        <v/>
      </c>
      <c r="D83" s="460"/>
      <c r="E83" s="460"/>
      <c r="F83" s="256"/>
      <c r="G83" s="461" t="str">
        <f>_xlfn.CONCAT(_xlfn.XLOOKUP("[S09_RegistryAccountAnnualFees][10][AnnualFeeAmount]",Submission!$O:$O,Submission!$H:$N,""))</f>
        <v/>
      </c>
      <c r="H83" s="465"/>
      <c r="I83" s="462"/>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09" t="s">
        <v>1276</v>
      </c>
      <c r="C3" s="309"/>
      <c r="D3" s="309"/>
      <c r="E3" s="309"/>
      <c r="F3" s="309"/>
      <c r="G3" s="309"/>
      <c r="H3" s="309"/>
      <c r="I3" s="309"/>
    </row>
    <row r="4" spans="1:9" s="7" customFormat="1" ht="18.899999999999999" customHeight="1" x14ac:dyDescent="0.35">
      <c r="A4" s="48" t="s">
        <v>1277</v>
      </c>
      <c r="B4" s="310" t="s">
        <v>74</v>
      </c>
      <c r="C4" s="310"/>
      <c r="D4" s="310"/>
      <c r="E4" s="310"/>
      <c r="F4" s="310"/>
      <c r="G4" s="310"/>
      <c r="H4" s="310"/>
      <c r="I4" s="311"/>
    </row>
    <row r="5" spans="1:9" ht="32.1" customHeight="1" x14ac:dyDescent="0.3">
      <c r="A5" s="17" t="s">
        <v>567</v>
      </c>
      <c r="B5" s="275" t="s">
        <v>1278</v>
      </c>
      <c r="C5" s="276"/>
      <c r="D5" s="276"/>
      <c r="E5" s="276"/>
      <c r="F5" s="276"/>
      <c r="G5" s="276"/>
      <c r="H5" s="276"/>
      <c r="I5" s="276"/>
    </row>
    <row r="6" spans="1:9" ht="15.9" customHeight="1" x14ac:dyDescent="0.3">
      <c r="C6" s="317" t="s">
        <v>1279</v>
      </c>
      <c r="D6" s="370"/>
      <c r="E6" s="370"/>
      <c r="F6" s="370"/>
      <c r="G6" s="318"/>
      <c r="H6" s="53" t="s">
        <v>709</v>
      </c>
      <c r="I6" s="54" t="s">
        <v>1280</v>
      </c>
    </row>
    <row r="7" spans="1:9" s="58" customFormat="1" ht="25.2" customHeight="1" x14ac:dyDescent="0.3">
      <c r="A7" s="75"/>
      <c r="C7" s="249" t="s">
        <v>1281</v>
      </c>
      <c r="D7" s="272"/>
      <c r="E7" s="272"/>
      <c r="F7" s="272"/>
      <c r="G7" s="273"/>
      <c r="H7" s="47" t="str">
        <f>_xlfn.CONCAT(_xlfn.XLOOKUP("[S10_InstallationsComplianceMeasures][1][ComplianceMeasuresYesNo]",Submission!$O:$O,Submission!$H:$N,""))</f>
        <v>No</v>
      </c>
      <c r="I7" s="72" t="str">
        <f>_xlfn.CONCAT(_xlfn.XLOOKUP("[S10_InstallationsComplianceMeasures][1][ComplianceMeasuresComment]",Submission!$O:$O,Submission!$H:$N,""))</f>
        <v>The EU ETS competent authority is not an inspection body in CZ, but may take part in witnessed audits (verification). Nevertheless, due to the epidemy no witness audit was performed in 2021 by the competent authority.</v>
      </c>
    </row>
    <row r="8" spans="1:9" s="58" customFormat="1" ht="25.2" customHeight="1" x14ac:dyDescent="0.3">
      <c r="A8" s="75"/>
      <c r="C8" s="249" t="s">
        <v>1282</v>
      </c>
      <c r="D8" s="272"/>
      <c r="E8" s="272"/>
      <c r="F8" s="272"/>
      <c r="G8" s="273"/>
      <c r="H8" s="47" t="str">
        <f>_xlfn.CONCAT(_xlfn.XLOOKUP("[S10_InstallationsComplianceMeasures][2][ComplianceMeasuresYesNo]",Submission!$O:$O,Submission!$H:$N,""))</f>
        <v>Yes</v>
      </c>
      <c r="I8" s="72" t="str">
        <f>_xlfn.CONCAT(_xlfn.XLOOKUP("[S10_InstallationsComplianceMeasures][2][ComplianceMeasuresComment]",Submission!$O:$O,Submission!$H:$N,""))</f>
        <v>In cases of insolvency /liquidation.</v>
      </c>
    </row>
    <row r="9" spans="1:9" s="58" customFormat="1" ht="25.2" customHeight="1" x14ac:dyDescent="0.3">
      <c r="A9" s="75"/>
      <c r="C9" s="249" t="s">
        <v>1283</v>
      </c>
      <c r="D9" s="272"/>
      <c r="E9" s="272"/>
      <c r="F9" s="272"/>
      <c r="G9" s="273"/>
      <c r="H9" s="47" t="str">
        <f>_xlfn.CONCAT(_xlfn.XLOOKUP("[S10_InstallationsComplianceMeasures][3][ComplianceMeasuresYesNo]",Submission!$O:$O,Submission!$H:$N,""))</f>
        <v>Yes</v>
      </c>
      <c r="I9" s="72" t="str">
        <f>_xlfn.CONCAT(_xlfn.XLOOKUP("[S10_InstallationsComplianceMeasures][3][ComplianceMeasuresComment]",Submission!$O:$O,Submission!$H:$N,""))</f>
        <v>Suspension of the account</v>
      </c>
    </row>
    <row r="10" spans="1:9" s="58" customFormat="1" ht="25.2" customHeight="1" x14ac:dyDescent="0.3">
      <c r="A10" s="75"/>
      <c r="C10" s="249" t="s">
        <v>1284</v>
      </c>
      <c r="D10" s="272"/>
      <c r="E10" s="272"/>
      <c r="F10" s="272"/>
      <c r="G10" s="273"/>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9" t="s">
        <v>697</v>
      </c>
      <c r="D11" s="273"/>
      <c r="E11" s="258" t="str">
        <f>_xlfn.CONCAT(_xlfn.XLOOKUP("[S10_InstallationsComplianceMeasures][5][ComplianceMeasuresOther]",Submission!$O:$O,Submission!$H:$N,""))</f>
        <v/>
      </c>
      <c r="F11" s="353"/>
      <c r="G11" s="260"/>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9" t="s">
        <v>1257</v>
      </c>
      <c r="D12" s="273"/>
      <c r="E12" s="258" t="str">
        <f>_xlfn.CONCAT(_xlfn.XLOOKUP("[S10_InstallationsComplianceMeasures][6][ComplianceMeasuresOther]",Submission!$O:$O,Submission!$H:$N,""))</f>
        <v/>
      </c>
      <c r="F12" s="353"/>
      <c r="G12" s="260"/>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3"/>
      <c r="E13" s="258" t="str">
        <f>_xlfn.CONCAT(_xlfn.XLOOKUP("[S10_InstallationsComplianceMeasures][7][ComplianceMeasuresOther]",Submission!$O:$O,Submission!$H:$N,""))</f>
        <v/>
      </c>
      <c r="F13" s="353"/>
      <c r="G13" s="260"/>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3"/>
      <c r="E14" s="258" t="str">
        <f>_xlfn.CONCAT(_xlfn.XLOOKUP("[S10_InstallationsComplianceMeasures][8][ComplianceMeasuresOther]",Submission!$O:$O,Submission!$H:$N,""))</f>
        <v/>
      </c>
      <c r="F14" s="353"/>
      <c r="G14" s="260"/>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2" t="s">
        <v>1285</v>
      </c>
      <c r="C17" s="393"/>
      <c r="D17" s="393"/>
      <c r="E17" s="393"/>
      <c r="F17" s="393"/>
      <c r="G17" s="393"/>
      <c r="H17" s="393"/>
      <c r="I17" s="393"/>
    </row>
    <row r="18" spans="1:9" ht="32.1" customHeight="1" x14ac:dyDescent="0.3">
      <c r="A18" s="13"/>
      <c r="B18" s="338" t="s">
        <v>1286</v>
      </c>
      <c r="C18" s="308"/>
      <c r="D18" s="308"/>
      <c r="E18" s="308"/>
      <c r="F18" s="308"/>
      <c r="G18" s="308"/>
      <c r="H18" s="308"/>
      <c r="I18" s="308"/>
    </row>
    <row r="19" spans="1:9" x14ac:dyDescent="0.3">
      <c r="A19" s="13"/>
      <c r="C19" s="551" t="s">
        <v>1224</v>
      </c>
      <c r="D19" s="551"/>
      <c r="E19" s="551" t="s">
        <v>1225</v>
      </c>
      <c r="F19" s="551"/>
      <c r="G19" s="551" t="s">
        <v>1226</v>
      </c>
      <c r="H19" s="551"/>
      <c r="I19" s="532" t="s">
        <v>1227</v>
      </c>
    </row>
    <row r="20" spans="1:9" ht="15.9" customHeight="1" x14ac:dyDescent="0.3">
      <c r="A20" s="13"/>
      <c r="C20" s="551"/>
      <c r="D20" s="551"/>
      <c r="E20" s="43" t="s">
        <v>1228</v>
      </c>
      <c r="F20" s="43" t="s">
        <v>1229</v>
      </c>
      <c r="G20" s="43" t="s">
        <v>1228</v>
      </c>
      <c r="H20" s="43" t="s">
        <v>1229</v>
      </c>
      <c r="I20" s="533"/>
    </row>
    <row r="21" spans="1:9" ht="33" customHeight="1" x14ac:dyDescent="0.3">
      <c r="A21" s="13"/>
      <c r="C21" s="249" t="s">
        <v>1287</v>
      </c>
      <c r="D21" s="250"/>
      <c r="E21" s="105" t="str">
        <f>_xlfn.CONCAT(_xlfn.XLOOKUP("[S10_InstallationsInfringementPenalties]["&amp;ROW(B21)-ROW($B$20)&amp;"][MinFine]",Submission!$O:$O,Submission!$H:$N,""))</f>
        <v>0</v>
      </c>
      <c r="F21" s="105" t="str">
        <f>_xlfn.CONCAT(_xlfn.XLOOKUP("[S10_InstallationsInfringementPenalties]["&amp;ROW(B21)-ROW($B$20)&amp;"][MaxFine]",Submission!$O:$O,Submission!$H:$N,""))</f>
        <v>200000</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c>
    </row>
    <row r="22" spans="1:9" ht="33" customHeight="1" x14ac:dyDescent="0.3">
      <c r="A22" s="13"/>
      <c r="C22" s="249" t="s">
        <v>1288</v>
      </c>
      <c r="D22" s="250"/>
      <c r="E22" s="105" t="str">
        <f>_xlfn.CONCAT(_xlfn.XLOOKUP("[S10_InstallationsInfringementPenalties]["&amp;ROW(B22)-ROW($B$20)&amp;"][MinFine]",Submission!$O:$O,Submission!$H:$N,""))</f>
        <v>0</v>
      </c>
      <c r="F22" s="105" t="str">
        <f>_xlfn.CONCAT(_xlfn.XLOOKUP("[S10_InstallationsInfringementPenalties]["&amp;ROW(B22)-ROW($B$20)&amp;"][MaxFine]",Submission!$O:$O,Submission!$H:$N,""))</f>
        <v>200000</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
      </c>
    </row>
    <row r="23" spans="1:9" ht="33" customHeight="1" x14ac:dyDescent="0.3">
      <c r="A23" s="13"/>
      <c r="C23" s="249" t="s">
        <v>1289</v>
      </c>
      <c r="D23" s="250"/>
      <c r="E23" s="105" t="str">
        <f>_xlfn.CONCAT(_xlfn.XLOOKUP("[S10_InstallationsInfringementPenalties]["&amp;ROW(B23)-ROW($B$20)&amp;"][MinFine]",Submission!$O:$O,Submission!$H:$N,""))</f>
        <v>0</v>
      </c>
      <c r="F23" s="105" t="str">
        <f>_xlfn.CONCAT(_xlfn.XLOOKUP("[S10_InstallationsInfringementPenalties]["&amp;ROW(B23)-ROW($B$20)&amp;"][MaxFine]",Submission!$O:$O,Submission!$H:$N,""))</f>
        <v>20000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9" t="s">
        <v>1290</v>
      </c>
      <c r="D24" s="250"/>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9" t="s">
        <v>1291</v>
      </c>
      <c r="D25" s="250"/>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9" t="s">
        <v>1292</v>
      </c>
      <c r="D26" s="250"/>
      <c r="E26" s="105" t="str">
        <f>_xlfn.CONCAT(_xlfn.XLOOKUP("[S10_InstallationsInfringementPenalties]["&amp;ROW(B26)-ROW($B$20)&amp;"][MinFine]",Submission!$O:$O,Submission!$H:$N,""))</f>
        <v>0</v>
      </c>
      <c r="F26" s="105" t="str">
        <f>_xlfn.CONCAT(_xlfn.XLOOKUP("[S10_InstallationsInfringementPenalties]["&amp;ROW(B26)-ROW($B$20)&amp;"][MaxFine]",Submission!$O:$O,Submission!$H:$N,""))</f>
        <v>800000</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9" t="s">
        <v>1293</v>
      </c>
      <c r="D27" s="250"/>
      <c r="E27" s="105" t="str">
        <f>_xlfn.CONCAT(_xlfn.XLOOKUP("[S10_InstallationsInfringementPenalties]["&amp;ROW(B27)-ROW($B$20)&amp;"][MinFine]",Submission!$O:$O,Submission!$H:$N,""))</f>
        <v>0</v>
      </c>
      <c r="F27" s="105" t="str">
        <f>_xlfn.CONCAT(_xlfn.XLOOKUP("[S10_InstallationsInfringementPenalties]["&amp;ROW(B27)-ROW($B$20)&amp;"][MaxFine]",Submission!$O:$O,Submission!$H:$N,""))</f>
        <v>4000</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9" t="s">
        <v>1294</v>
      </c>
      <c r="D28" s="250"/>
      <c r="E28" s="105" t="str">
        <f>_xlfn.CONCAT(_xlfn.XLOOKUP("[S10_InstallationsInfringementPenalties]["&amp;ROW(B28)-ROW($B$20)&amp;"][MinFine]",Submission!$O:$O,Submission!$H:$N,""))</f>
        <v>0</v>
      </c>
      <c r="F28" s="105" t="str">
        <f>_xlfn.CONCAT(_xlfn.XLOOKUP("[S10_InstallationsInfringementPenalties]["&amp;ROW(B28)-ROW($B$20)&amp;"][MaxFine]",Submission!$O:$O,Submission!$H:$N,""))</f>
        <v>20000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9" t="s">
        <v>1295</v>
      </c>
      <c r="D29" s="250"/>
      <c r="E29" s="105" t="str">
        <f>_xlfn.CONCAT(_xlfn.XLOOKUP("[S10_InstallationsInfringementPenalties]["&amp;ROW(B29)-ROW($B$20)&amp;"][MinFine]",Submission!$O:$O,Submission!$H:$N,""))</f>
        <v/>
      </c>
      <c r="F29" s="105" t="str">
        <f>_xlfn.CONCAT(_xlfn.XLOOKUP("[S10_InstallationsInfringementPenalties]["&amp;ROW(B29)-ROW($B$20)&amp;"][MaxFine]",Submission!$O:$O,Submission!$H:$N,""))</f>
        <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9" t="s">
        <v>1296</v>
      </c>
      <c r="D30" s="250"/>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9" t="s">
        <v>1297</v>
      </c>
      <c r="D31" s="250"/>
      <c r="E31" s="105" t="str">
        <f>_xlfn.CONCAT(_xlfn.XLOOKUP("[S10_InstallationsInfringementPenalties]["&amp;ROW(B31)-ROW($B$20)&amp;"][MinFine]",Submission!$O:$O,Submission!$H:$N,""))</f>
        <v>0</v>
      </c>
      <c r="F31" s="105" t="str">
        <f>_xlfn.CONCAT(_xlfn.XLOOKUP("[S10_InstallationsInfringementPenalties]["&amp;ROW(B31)-ROW($B$20)&amp;"][MaxFine]",Submission!$O:$O,Submission!$H:$N,""))</f>
        <v>800000</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Failure to announce true information regarding the compliance with conditions for the exclusion from the EU ETS according to Art 27a</v>
      </c>
      <c r="E32" s="105" t="str">
        <f>_xlfn.CONCAT(_xlfn.XLOOKUP("[S10_InstallationsInfringementPenalties]["&amp;ROW(B32)-ROW($B$20)&amp;"][MinFine]",Submission!$O:$O,Submission!$H:$N,""))</f>
        <v>0</v>
      </c>
      <c r="F32" s="105" t="str">
        <f>_xlfn.CONCAT(_xlfn.XLOOKUP("[S10_InstallationsInfringementPenalties]["&amp;ROW(B32)-ROW($B$20)&amp;"][MaxFine]",Submission!$O:$O,Submission!$H:$N,""))</f>
        <v>200000</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Failure to apply for the opening of an account in the EU Registry</v>
      </c>
      <c r="E33" s="105" t="str">
        <f>_xlfn.CONCAT(_xlfn.XLOOKUP("[S10_InstallationsInfringementPenalties]["&amp;ROW(B33)-ROW($B$20)&amp;"][MinFine]",Submission!$O:$O,Submission!$H:$N,""))</f>
        <v>0</v>
      </c>
      <c r="F33" s="105" t="str">
        <f>_xlfn.CONCAT(_xlfn.XLOOKUP("[S10_InstallationsInfringementPenalties]["&amp;ROW(B33)-ROW($B$20)&amp;"][MaxFine]",Submission!$O:$O,Submission!$H:$N,""))</f>
        <v>4000</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Failure to surrender or return emission allowances</v>
      </c>
      <c r="E34" s="105" t="str">
        <f>_xlfn.CONCAT(_xlfn.XLOOKUP("[S10_InstallationsInfringementPenalties]["&amp;ROW(B34)-ROW($B$20)&amp;"][MinFine]",Submission!$O:$O,Submission!$H:$N,""))</f>
        <v/>
      </c>
      <c r="F34" s="105" t="str">
        <f>_xlfn.CONCAT(_xlfn.XLOOKUP("[S10_InstallationsInfringementPenalties]["&amp;ROW(B34)-ROW($B$20)&amp;"][MaxFine]",Submission!$O:$O,Submission!$H:$N,""))</f>
        <v>100</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Fine equal to 100 EUR per unsurrendered allowance
increased by harmonised index of consumer prices
since 2013 (not releasing from obligation to
surrender allowances)</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38" t="s">
        <v>1298</v>
      </c>
      <c r="C59" s="308"/>
      <c r="D59" s="308"/>
      <c r="E59" s="308"/>
      <c r="F59" s="308"/>
      <c r="G59" s="308"/>
      <c r="H59" s="308"/>
      <c r="I59" s="308"/>
    </row>
    <row r="60" spans="1:9" ht="15.9" customHeight="1" x14ac:dyDescent="0.3">
      <c r="B60" s="18"/>
      <c r="C60" s="531" t="str">
        <f>_xlfn.CONCAT(_xlfn.XLOOKUP("[InstallationsNationalLaw][0][InstallationsNationalLaw]",Submission!$O:$O,Submission!$H:$N,""))</f>
        <v>Emission Trading Act Nr. 383/2012 Coll.</v>
      </c>
      <c r="D60" s="531"/>
      <c r="E60" s="531"/>
      <c r="F60" s="531"/>
      <c r="G60" s="531"/>
      <c r="H60" s="531"/>
      <c r="I60" s="531"/>
    </row>
    <row r="61" spans="1:9" ht="15.9" customHeight="1" x14ac:dyDescent="0.3"/>
    <row r="62" spans="1:9" ht="32.1" customHeight="1" x14ac:dyDescent="0.3">
      <c r="A62" s="12" t="s">
        <v>579</v>
      </c>
      <c r="B62" s="338" t="s">
        <v>1238</v>
      </c>
      <c r="C62" s="308"/>
      <c r="D62" s="308"/>
      <c r="E62" s="308"/>
      <c r="F62" s="308"/>
      <c r="G62" s="308"/>
      <c r="H62" s="308"/>
      <c r="I62" s="308"/>
    </row>
    <row r="63" spans="1:9" ht="15.9" customHeight="1" x14ac:dyDescent="0.3">
      <c r="A63" s="13"/>
      <c r="C63" s="530" t="s">
        <v>1299</v>
      </c>
      <c r="D63" s="530"/>
      <c r="E63" s="530"/>
      <c r="F63" s="530"/>
      <c r="G63" s="530"/>
      <c r="H63" s="530"/>
      <c r="I63" s="530"/>
    </row>
    <row r="64" spans="1:9" ht="25.5" customHeight="1" x14ac:dyDescent="0.3">
      <c r="A64" s="13"/>
      <c r="C64" s="526" t="s">
        <v>1224</v>
      </c>
      <c r="D64" s="527"/>
      <c r="E64" s="317" t="s">
        <v>1240</v>
      </c>
      <c r="F64" s="370"/>
      <c r="G64" s="318"/>
      <c r="H64" s="557" t="s">
        <v>1300</v>
      </c>
      <c r="I64" s="557" t="s">
        <v>1242</v>
      </c>
    </row>
    <row r="65" spans="1:9" ht="31.2" customHeight="1" x14ac:dyDescent="0.3">
      <c r="A65" s="13"/>
      <c r="C65" s="528"/>
      <c r="D65" s="529"/>
      <c r="E65" s="46" t="s">
        <v>1225</v>
      </c>
      <c r="F65" s="46" t="s">
        <v>1226</v>
      </c>
      <c r="G65" s="46" t="s">
        <v>1227</v>
      </c>
      <c r="H65" s="558"/>
      <c r="I65" s="558"/>
    </row>
    <row r="66" spans="1:9" ht="41.4" customHeight="1" x14ac:dyDescent="0.3">
      <c r="A66" s="13"/>
      <c r="C66" s="258" t="str">
        <f>_xlfn.CONCAT(_xlfn.XLOOKUP("[S10_InstallationsPenaltiesImposed][1][InfringementType]",Submission!$O:$O,Submission!$H:$N,""))</f>
        <v>Failure to comply with the conditions of the permit</v>
      </c>
      <c r="D66" s="260"/>
      <c r="E66" s="105" t="str">
        <f>_xlfn.CONCAT(_xlfn.XLOOKUP("[S10_InstallationsPenaltiesImposed][1][ActualFines]",Submission!$O:$O,Submission!$H:$N,""))</f>
        <v>3372139.84611446</v>
      </c>
      <c r="F66" s="105" t="str">
        <f>_xlfn.CONCAT(_xlfn.XLOOKUP("[S10_InstallationsPenaltiesImposed][1][ActualImprisonment]",Submission!$O:$O,Submission!$H:$N,""))</f>
        <v>0</v>
      </c>
      <c r="G66" s="92" t="str">
        <f>_xlfn.CONCAT(_xlfn.XLOOKUP("[S10_InstallationsPenaltiesImposed][1][ACtualOtherPenalties]",Submission!$O:$O,Submission!$H:$N,""))</f>
        <v>Note: the fine has no legal force so far with regard to ongoing proceedings</v>
      </c>
      <c r="H66" s="63" t="str">
        <f>_xlfn.CONCAT(_xlfn.XLOOKUP("[S10_InstallationsPenaltiesImposed][1][OngoingProceedings]",Submission!$O:$O,Submission!$H:$N,""))</f>
        <v>Yes</v>
      </c>
      <c r="I66" s="89" t="str">
        <f>_xlfn.CONCAT(_xlfn.XLOOKUP("[S10_InstallationsPenaltiesImposed][1][PenaltyEnforcedWithinPeriod]",Submission!$O:$O,Submission!$H:$N,""))</f>
        <v>No</v>
      </c>
    </row>
    <row r="67" spans="1:9" ht="41.4" customHeight="1" x14ac:dyDescent="0.3">
      <c r="A67" s="13"/>
      <c r="C67" s="258" t="str">
        <f>_xlfn.CONCAT(_xlfn.XLOOKUP("[S10_InstallationsPenaltiesImposed][2][InfringementType]",Submission!$O:$O,Submission!$H:$N,""))</f>
        <v>Failure to comply with the conditions of the permit</v>
      </c>
      <c r="D67" s="260"/>
      <c r="E67" s="105" t="str">
        <f>_xlfn.CONCAT(_xlfn.XLOOKUP("[S10_InstallationsPenaltiesImposed][2][ActualFines]",Submission!$O:$O,Submission!$H:$N,""))</f>
        <v>10413699.38665</v>
      </c>
      <c r="F67" s="105" t="str">
        <f>_xlfn.CONCAT(_xlfn.XLOOKUP("[S10_InstallationsPenaltiesImposed][2][ActualImprisonment]",Submission!$O:$O,Submission!$H:$N,""))</f>
        <v>0</v>
      </c>
      <c r="G67" s="92" t="str">
        <f>_xlfn.CONCAT(_xlfn.XLOOKUP("[S10_InstallationsPenaltiesImposed][2][ACtualOtherPenalties]",Submission!$O:$O,Submission!$H:$N,""))</f>
        <v>Note: the fine has no legal force so far with regard to ongoing proceedings</v>
      </c>
      <c r="H67" s="63" t="str">
        <f>_xlfn.CONCAT(_xlfn.XLOOKUP("[S10_InstallationsPenaltiesImposed][2][OngoingProceedings]",Submission!$O:$O,Submission!$H:$N,""))</f>
        <v>Yes</v>
      </c>
      <c r="I67" s="89" t="str">
        <f>_xlfn.CONCAT(_xlfn.XLOOKUP("[S10_InstallationsPenaltiesImposed][2][PenaltyEnforcedWithinPeriod]",Submission!$O:$O,Submission!$H:$N,""))</f>
        <v>No</v>
      </c>
    </row>
    <row r="68" spans="1:9" ht="41.4" customHeight="1" x14ac:dyDescent="0.3">
      <c r="A68" s="13"/>
      <c r="C68" s="258" t="str">
        <f>_xlfn.CONCAT(_xlfn.XLOOKUP("[S10_InstallationsPenaltiesImposed][3][InfringementType]",Submission!$O:$O,Submission!$H:$N,""))</f>
        <v/>
      </c>
      <c r="D68" s="260"/>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58" t="str">
        <f>_xlfn.CONCAT(_xlfn.XLOOKUP("[S10_InstallationsPenaltiesImposed][4][InfringementType]",Submission!$O:$O,Submission!$H:$N,""))</f>
        <v/>
      </c>
      <c r="D69" s="260"/>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58" t="str">
        <f>_xlfn.CONCAT(_xlfn.XLOOKUP("[S10_InstallationsPenaltiesImposed][5][InfringementType]",Submission!$O:$O,Submission!$H:$N,""))</f>
        <v/>
      </c>
      <c r="D70" s="260"/>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58" t="str">
        <f>_xlfn.CONCAT(_xlfn.XLOOKUP("[S10_InstallationsPenaltiesImposed][6][InfringementType]",Submission!$O:$O,Submission!$H:$N,""))</f>
        <v/>
      </c>
      <c r="D71" s="260"/>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58" t="str">
        <f>_xlfn.CONCAT(_xlfn.XLOOKUP("[S10_InstallationsPenaltiesImposed][7][InfringementType]",Submission!$O:$O,Submission!$H:$N,""))</f>
        <v/>
      </c>
      <c r="D72" s="260"/>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58" t="str">
        <f>_xlfn.CONCAT(_xlfn.XLOOKUP("[S10_InstallationsPenaltiesImposed][8][InfringementType]",Submission!$O:$O,Submission!$H:$N,""))</f>
        <v/>
      </c>
      <c r="D73" s="260"/>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58" t="str">
        <f>_xlfn.CONCAT(_xlfn.XLOOKUP("[S10_InstallationsPenaltiesImposed][9][InfringementType]",Submission!$O:$O,Submission!$H:$N,""))</f>
        <v/>
      </c>
      <c r="D74" s="260"/>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58" t="str">
        <f>_xlfn.CONCAT(_xlfn.XLOOKUP("[S10_InstallationsPenaltiesImposed][10][InfringementType]",Submission!$O:$O,Submission!$H:$N,""))</f>
        <v/>
      </c>
      <c r="D75" s="260"/>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58" t="str">
        <f>_xlfn.CONCAT(_xlfn.XLOOKUP("[S10_InstallationsPenaltiesImposed][11][InfringementType]",Submission!$O:$O,Submission!$H:$N,""))</f>
        <v/>
      </c>
      <c r="D76" s="260"/>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58" t="str">
        <f>_xlfn.CONCAT(_xlfn.XLOOKUP("[S10_InstallationsPenaltiesImposed][12][InfringementType]",Submission!$O:$O,Submission!$H:$N,""))</f>
        <v/>
      </c>
      <c r="D77" s="260"/>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58" t="str">
        <f>_xlfn.CONCAT(_xlfn.XLOOKUP("[S10_InstallationsPenaltiesImposed][13][InfringementType]",Submission!$O:$O,Submission!$H:$N,""))</f>
        <v/>
      </c>
      <c r="D78" s="260"/>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58" t="str">
        <f>_xlfn.CONCAT(_xlfn.XLOOKUP("[S10_InstallationsPenaltiesImposed][14][InfringementType]",Submission!$O:$O,Submission!$H:$N,""))</f>
        <v/>
      </c>
      <c r="D79" s="260"/>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58" t="str">
        <f>_xlfn.CONCAT(_xlfn.XLOOKUP("[S10_InstallationsPenaltiesImposed][15][InfringementType]",Submission!$O:$O,Submission!$H:$N,""))</f>
        <v/>
      </c>
      <c r="D80" s="260"/>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58" t="str">
        <f>_xlfn.CONCAT(_xlfn.XLOOKUP("[S10_InstallationsPenaltiesImposed][16][InfringementType]",Submission!$O:$O,Submission!$H:$N,""))</f>
        <v/>
      </c>
      <c r="D81" s="260"/>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58" t="str">
        <f>_xlfn.CONCAT(_xlfn.XLOOKUP("[S10_InstallationsPenaltiesImposed][17][InfringementType]",Submission!$O:$O,Submission!$H:$N,""))</f>
        <v/>
      </c>
      <c r="D82" s="260"/>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58" t="str">
        <f>_xlfn.CONCAT(_xlfn.XLOOKUP("[S10_InstallationsPenaltiesImposed][18][InfringementType]",Submission!$O:$O,Submission!$H:$N,""))</f>
        <v/>
      </c>
      <c r="D83" s="260"/>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58" t="str">
        <f>_xlfn.CONCAT(_xlfn.XLOOKUP("[S10_InstallationsPenaltiesImposed][19][InfringementType]",Submission!$O:$O,Submission!$H:$N,""))</f>
        <v/>
      </c>
      <c r="D84" s="260"/>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58" t="str">
        <f>_xlfn.CONCAT(_xlfn.XLOOKUP("[S10_InstallationsPenaltiesImposed][20][InfringementType]",Submission!$O:$O,Submission!$H:$N,""))</f>
        <v/>
      </c>
      <c r="D85" s="260"/>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58" t="str">
        <f>_xlfn.CONCAT(_xlfn.XLOOKUP("[S10_InstallationsPenaltiesImposed][21][InfringementType]",Submission!$O:$O,Submission!$H:$N,""))</f>
        <v/>
      </c>
      <c r="D86" s="260"/>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58" t="str">
        <f>_xlfn.CONCAT(_xlfn.XLOOKUP("[S10_InstallationsPenaltiesImposed][22][InfringementType]",Submission!$O:$O,Submission!$H:$N,""))</f>
        <v/>
      </c>
      <c r="D87" s="260"/>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78" t="s">
        <v>1244</v>
      </c>
      <c r="C90" s="478"/>
      <c r="D90" s="478"/>
      <c r="E90" s="478"/>
      <c r="F90" s="478"/>
      <c r="G90" s="478"/>
      <c r="H90" s="479"/>
      <c r="I90" s="41" t="str">
        <f>_xlfn.CONCAT(_xlfn.XLOOKUP("[InstallationsPriorPenaltiesEnforced][0][InstallationsPriorPenaltiesEnforced]",Submission!$O:$O,Submission!$H:$N,""))</f>
        <v>No</v>
      </c>
    </row>
    <row r="91" spans="1:9" ht="16.2" customHeight="1" x14ac:dyDescent="0.3">
      <c r="B91" s="338" t="s">
        <v>1245</v>
      </c>
      <c r="C91" s="308"/>
      <c r="D91" s="308"/>
      <c r="E91" s="308"/>
      <c r="F91" s="308"/>
      <c r="G91" s="308"/>
      <c r="H91" s="308"/>
      <c r="I91" s="308"/>
    </row>
    <row r="92" spans="1:9" x14ac:dyDescent="0.3">
      <c r="C92" s="435" t="s">
        <v>1224</v>
      </c>
      <c r="D92" s="436"/>
      <c r="E92" s="437"/>
      <c r="F92" s="435" t="s">
        <v>1246</v>
      </c>
      <c r="G92" s="437"/>
      <c r="H92" s="435" t="s">
        <v>1247</v>
      </c>
      <c r="I92" s="437"/>
    </row>
    <row r="93" spans="1:9" x14ac:dyDescent="0.3">
      <c r="C93" s="255" t="str">
        <f>_xlfn.CONCAT(_xlfn.XLOOKUP("[S10_InstallationsPriorPenaltiesEnforcedDetail][1][TypeInfringement]",Submission!$O:$O,Submission!$H:$N,""))</f>
        <v/>
      </c>
      <c r="D93" s="460"/>
      <c r="E93" s="256"/>
      <c r="F93" s="255" t="str">
        <f>_xlfn.CONCAT(_xlfn.XLOOKUP("[S10_InstallationsPriorPenaltiesEnforcedDetail][1][TypePenalty]",Submission!$O:$O,Submission!$H:$N,""))</f>
        <v/>
      </c>
      <c r="G93" s="256"/>
      <c r="H93" s="255" t="str">
        <f>_xlfn.CONCAT(_xlfn.XLOOKUP("[S10_InstallationsPriorPenaltiesEnforcedDetail][1][ReportinYear]",Submission!$O:$O,Submission!$H:$N,""))</f>
        <v/>
      </c>
      <c r="I93" s="256"/>
    </row>
    <row r="94" spans="1:9" x14ac:dyDescent="0.3">
      <c r="C94" s="255" t="str">
        <f>_xlfn.CONCAT(_xlfn.XLOOKUP("[S10_InstallationsPriorPenaltiesEnforcedDetail][2][TypeInfringement]",Submission!$O:$O,Submission!$H:$N,""))</f>
        <v/>
      </c>
      <c r="D94" s="460"/>
      <c r="E94" s="256"/>
      <c r="F94" s="255" t="str">
        <f>_xlfn.CONCAT(_xlfn.XLOOKUP("[S10_InstallationsPriorPenaltiesEnforcedDetail][2][TypePenalty]",Submission!$O:$O,Submission!$H:$N,""))</f>
        <v/>
      </c>
      <c r="G94" s="256"/>
      <c r="H94" s="255" t="str">
        <f>_xlfn.CONCAT(_xlfn.XLOOKUP("[S10_InstallationsPriorPenaltiesEnforcedDetail][2][ReportinYear]",Submission!$O:$O,Submission!$H:$N,""))</f>
        <v/>
      </c>
      <c r="I94" s="256"/>
    </row>
    <row r="95" spans="1:9" x14ac:dyDescent="0.3">
      <c r="C95" s="255" t="str">
        <f>_xlfn.CONCAT(_xlfn.XLOOKUP("[S10_InstallationsPriorPenaltiesEnforcedDetail][3][TypeInfringement]",Submission!$O:$O,Submission!$H:$N,""))</f>
        <v/>
      </c>
      <c r="D95" s="460"/>
      <c r="E95" s="256"/>
      <c r="F95" s="255" t="str">
        <f>_xlfn.CONCAT(_xlfn.XLOOKUP("[S10_InstallationsPriorPenaltiesEnforcedDetail][3][TypePenalty]",Submission!$O:$O,Submission!$H:$N,""))</f>
        <v/>
      </c>
      <c r="G95" s="256"/>
      <c r="H95" s="255" t="str">
        <f>_xlfn.CONCAT(_xlfn.XLOOKUP("[S10_InstallationsPriorPenaltiesEnforcedDetail][3][ReportinYear]",Submission!$O:$O,Submission!$H:$N,""))</f>
        <v/>
      </c>
      <c r="I95" s="256"/>
    </row>
    <row r="96" spans="1:9" x14ac:dyDescent="0.3">
      <c r="C96" s="255" t="str">
        <f>_xlfn.CONCAT(_xlfn.XLOOKUP("[S10_InstallationsPriorPenaltiesEnforcedDetail][4][TypeInfringement]",Submission!$O:$O,Submission!$H:$N,""))</f>
        <v/>
      </c>
      <c r="D96" s="460"/>
      <c r="E96" s="256"/>
      <c r="F96" s="255" t="str">
        <f>_xlfn.CONCAT(_xlfn.XLOOKUP("[S10_InstallationsPriorPenaltiesEnforcedDetail][4][TypePenalty]",Submission!$O:$O,Submission!$H:$N,""))</f>
        <v/>
      </c>
      <c r="G96" s="256"/>
      <c r="H96" s="255" t="str">
        <f>_xlfn.CONCAT(_xlfn.XLOOKUP("[S10_InstallationsPriorPenaltiesEnforcedDetail][4][ReportinYear]",Submission!$O:$O,Submission!$H:$N,""))</f>
        <v/>
      </c>
      <c r="I96" s="256"/>
    </row>
    <row r="97" spans="2:10" x14ac:dyDescent="0.3">
      <c r="C97" s="255" t="str">
        <f>_xlfn.CONCAT(_xlfn.XLOOKUP("[S10_InstallationsPriorPenaltiesEnforcedDetail][5][TypeInfringement]",Submission!$O:$O,Submission!$H:$N,""))</f>
        <v/>
      </c>
      <c r="D97" s="460"/>
      <c r="E97" s="256"/>
      <c r="F97" s="255" t="str">
        <f>_xlfn.CONCAT(_xlfn.XLOOKUP("[S10_InstallationsPriorPenaltiesEnforcedDetail][5][TypePenalty]",Submission!$O:$O,Submission!$H:$N,""))</f>
        <v/>
      </c>
      <c r="G97" s="256"/>
      <c r="H97" s="255" t="str">
        <f>_xlfn.CONCAT(_xlfn.XLOOKUP("[S10_InstallationsPriorPenaltiesEnforcedDetail][5][ReportinYear]",Submission!$O:$O,Submission!$H:$N,""))</f>
        <v/>
      </c>
      <c r="I97" s="256"/>
    </row>
    <row r="98" spans="2:10" hidden="1" outlineLevel="1" x14ac:dyDescent="0.3">
      <c r="C98" s="255" t="str">
        <f>_xlfn.CONCAT(_xlfn.XLOOKUP("[S10_InstallationsPriorPenaltiesEnforcedDetail][6][TypeInfringement]",Submission!$O:$O,Submission!$H:$N,""))</f>
        <v/>
      </c>
      <c r="D98" s="460"/>
      <c r="E98" s="256"/>
      <c r="F98" s="255" t="str">
        <f>_xlfn.CONCAT(_xlfn.XLOOKUP("[S10_InstallationsPriorPenaltiesEnforcedDetail][6][TypePenalty]",Submission!$O:$O,Submission!$H:$N,""))</f>
        <v/>
      </c>
      <c r="G98" s="256"/>
      <c r="H98" s="255" t="str">
        <f>_xlfn.CONCAT(_xlfn.XLOOKUP("[S10_InstallationsPriorPenaltiesEnforcedDetail][6][ReportinYear]",Submission!$O:$O,Submission!$H:$N,""))</f>
        <v/>
      </c>
      <c r="I98" s="256"/>
    </row>
    <row r="99" spans="2:10" hidden="1" outlineLevel="1" x14ac:dyDescent="0.3">
      <c r="C99" s="255" t="str">
        <f>_xlfn.CONCAT(_xlfn.XLOOKUP("[S10_InstallationsPriorPenaltiesEnforcedDetail][7][TypeInfringement]",Submission!$O:$O,Submission!$H:$N,""))</f>
        <v/>
      </c>
      <c r="D99" s="460"/>
      <c r="E99" s="256"/>
      <c r="F99" s="255" t="str">
        <f>_xlfn.CONCAT(_xlfn.XLOOKUP("[S10_InstallationsPriorPenaltiesEnforcedDetail][7][TypePenalty]",Submission!$O:$O,Submission!$H:$N,""))</f>
        <v/>
      </c>
      <c r="G99" s="256"/>
      <c r="H99" s="255" t="str">
        <f>_xlfn.CONCAT(_xlfn.XLOOKUP("[S10_InstallationsPriorPenaltiesEnforcedDetail][7][ReportinYear]",Submission!$O:$O,Submission!$H:$N,""))</f>
        <v/>
      </c>
      <c r="I99" s="256"/>
    </row>
    <row r="100" spans="2:10" hidden="1" outlineLevel="1" x14ac:dyDescent="0.3">
      <c r="C100" s="255" t="str">
        <f>_xlfn.CONCAT(_xlfn.XLOOKUP("[S10_InstallationsPriorPenaltiesEnforcedDetail][8][TypeInfringement]",Submission!$O:$O,Submission!$H:$N,""))</f>
        <v/>
      </c>
      <c r="D100" s="460"/>
      <c r="E100" s="256"/>
      <c r="F100" s="255" t="str">
        <f>_xlfn.CONCAT(_xlfn.XLOOKUP("[S10_InstallationsPriorPenaltiesEnforcedDetail][8][TypePenalty]",Submission!$O:$O,Submission!$H:$N,""))</f>
        <v/>
      </c>
      <c r="G100" s="256"/>
      <c r="H100" s="255" t="str">
        <f>_xlfn.CONCAT(_xlfn.XLOOKUP("[S10_InstallationsPriorPenaltiesEnforcedDetail][8][ReportinYear]",Submission!$O:$O,Submission!$H:$N,""))</f>
        <v/>
      </c>
      <c r="I100" s="256"/>
    </row>
    <row r="101" spans="2:10" hidden="1" outlineLevel="1" x14ac:dyDescent="0.3">
      <c r="C101" s="255" t="str">
        <f>_xlfn.CONCAT(_xlfn.XLOOKUP("[S10_InstallationsPriorPenaltiesEnforcedDetail][9][TypeInfringement]",Submission!$O:$O,Submission!$H:$N,""))</f>
        <v/>
      </c>
      <c r="D101" s="460"/>
      <c r="E101" s="256"/>
      <c r="F101" s="255" t="str">
        <f>_xlfn.CONCAT(_xlfn.XLOOKUP("[S10_InstallationsPriorPenaltiesEnforcedDetail][9][TypePenalty]",Submission!$O:$O,Submission!$H:$N,""))</f>
        <v/>
      </c>
      <c r="G101" s="256"/>
      <c r="H101" s="255" t="str">
        <f>_xlfn.CONCAT(_xlfn.XLOOKUP("[S10_InstallationsPriorPenaltiesEnforcedDetail][9][ReportinYear]",Submission!$O:$O,Submission!$H:$N,""))</f>
        <v/>
      </c>
      <c r="I101" s="256"/>
    </row>
    <row r="102" spans="2:10" hidden="1" outlineLevel="1" x14ac:dyDescent="0.3">
      <c r="C102" s="255" t="str">
        <f>_xlfn.CONCAT(_xlfn.XLOOKUP("[S10_InstallationsPriorPenaltiesEnforcedDetail][10][TypeInfringement]",Submission!$O:$O,Submission!$H:$N,""))</f>
        <v/>
      </c>
      <c r="D102" s="460"/>
      <c r="E102" s="256"/>
      <c r="F102" s="255" t="str">
        <f>_xlfn.CONCAT(_xlfn.XLOOKUP("[S10_InstallationsPriorPenaltiesEnforcedDetail][10][TypePenalty]",Submission!$O:$O,Submission!$H:$N,""))</f>
        <v/>
      </c>
      <c r="G102" s="256"/>
      <c r="H102" s="255" t="str">
        <f>_xlfn.CONCAT(_xlfn.XLOOKUP("[S10_InstallationsPriorPenaltiesEnforcedDetail][10][ReportinYear]",Submission!$O:$O,Submission!$H:$N,""))</f>
        <v/>
      </c>
      <c r="I102" s="256"/>
    </row>
    <row r="103" spans="2:10" hidden="1" outlineLevel="1" x14ac:dyDescent="0.3">
      <c r="C103" s="255" t="str">
        <f>_xlfn.CONCAT(_xlfn.XLOOKUP("[S10_InstallationsPriorPenaltiesEnforcedDetail][11][TypeInfringement]",Submission!$O:$O,Submission!$H:$N,""))</f>
        <v/>
      </c>
      <c r="D103" s="460"/>
      <c r="E103" s="256"/>
      <c r="F103" s="255" t="str">
        <f>_xlfn.CONCAT(_xlfn.XLOOKUP("[S10_InstallationsPriorPenaltiesEnforcedDetail][11][TypePenalty]",Submission!$O:$O,Submission!$H:$N,""))</f>
        <v/>
      </c>
      <c r="G103" s="256"/>
      <c r="H103" s="255" t="str">
        <f>_xlfn.CONCAT(_xlfn.XLOOKUP("[S10_InstallationsPriorPenaltiesEnforcedDetail][11][ReportinYear]",Submission!$O:$O,Submission!$H:$N,""))</f>
        <v/>
      </c>
      <c r="I103" s="256"/>
    </row>
    <row r="104" spans="2:10" hidden="1" outlineLevel="1" x14ac:dyDescent="0.3">
      <c r="C104" s="255" t="str">
        <f>_xlfn.CONCAT(_xlfn.XLOOKUP("[S10_InstallationsPriorPenaltiesEnforcedDetail][12][TypeInfringement]",Submission!$O:$O,Submission!$H:$N,""))</f>
        <v/>
      </c>
      <c r="D104" s="460"/>
      <c r="E104" s="256"/>
      <c r="F104" s="255" t="str">
        <f>_xlfn.CONCAT(_xlfn.XLOOKUP("[S10_InstallationsPriorPenaltiesEnforcedDetail][12][TypePenalty]",Submission!$O:$O,Submission!$H:$N,""))</f>
        <v/>
      </c>
      <c r="G104" s="256"/>
      <c r="H104" s="255" t="str">
        <f>_xlfn.CONCAT(_xlfn.XLOOKUP("[S10_InstallationsPriorPenaltiesEnforcedDetail][12][ReportinYear]",Submission!$O:$O,Submission!$H:$N,""))</f>
        <v/>
      </c>
      <c r="I104" s="256"/>
    </row>
    <row r="105" spans="2:10" hidden="1" outlineLevel="1" x14ac:dyDescent="0.3">
      <c r="C105" s="255" t="str">
        <f>_xlfn.CONCAT(_xlfn.XLOOKUP("[S10_InstallationsPriorPenaltiesEnforcedDetail][13][TypeInfringement]",Submission!$O:$O,Submission!$H:$N,""))</f>
        <v/>
      </c>
      <c r="D105" s="460"/>
      <c r="E105" s="256"/>
      <c r="F105" s="255" t="str">
        <f>_xlfn.CONCAT(_xlfn.XLOOKUP("[S10_InstallationsPriorPenaltiesEnforcedDetail][13][TypePenalty]",Submission!$O:$O,Submission!$H:$N,""))</f>
        <v/>
      </c>
      <c r="G105" s="256"/>
      <c r="H105" s="255" t="str">
        <f>_xlfn.CONCAT(_xlfn.XLOOKUP("[S10_InstallationsPriorPenaltiesEnforcedDetail][13][ReportinYear]",Submission!$O:$O,Submission!$H:$N,""))</f>
        <v/>
      </c>
      <c r="I105" s="256"/>
    </row>
    <row r="106" spans="2:10" hidden="1" outlineLevel="1" x14ac:dyDescent="0.3">
      <c r="C106" s="255" t="str">
        <f>_xlfn.CONCAT(_xlfn.XLOOKUP("[S10_InstallationsPriorPenaltiesEnforcedDetail][14][TypeInfringement]",Submission!$O:$O,Submission!$H:$N,""))</f>
        <v/>
      </c>
      <c r="D106" s="460"/>
      <c r="E106" s="256"/>
      <c r="F106" s="255" t="str">
        <f>_xlfn.CONCAT(_xlfn.XLOOKUP("[S10_InstallationsPriorPenaltiesEnforcedDetail][14][TypePenalty]",Submission!$O:$O,Submission!$H:$N,""))</f>
        <v/>
      </c>
      <c r="G106" s="256"/>
      <c r="H106" s="255" t="str">
        <f>_xlfn.CONCAT(_xlfn.XLOOKUP("[S10_InstallationsPriorPenaltiesEnforcedDetail][14][ReportinYear]",Submission!$O:$O,Submission!$H:$N,""))</f>
        <v/>
      </c>
      <c r="I106" s="256"/>
    </row>
    <row r="107" spans="2:10" hidden="1" outlineLevel="1" x14ac:dyDescent="0.3">
      <c r="C107" s="255" t="str">
        <f>_xlfn.CONCAT(_xlfn.XLOOKUP("[S10_InstallationsPriorPenaltiesEnforcedDetail][15][TypeInfringement]",Submission!$O:$O,Submission!$H:$N,""))</f>
        <v/>
      </c>
      <c r="D107" s="460"/>
      <c r="E107" s="256"/>
      <c r="F107" s="255" t="str">
        <f>_xlfn.CONCAT(_xlfn.XLOOKUP("[S10_InstallationsPriorPenaltiesEnforcedDetail][15][TypePenalty]",Submission!$O:$O,Submission!$H:$N,""))</f>
        <v/>
      </c>
      <c r="G107" s="256"/>
      <c r="H107" s="255" t="str">
        <f>_xlfn.CONCAT(_xlfn.XLOOKUP("[S10_InstallationsPriorPenaltiesEnforcedDetail][15][ReportinYear]",Submission!$O:$O,Submission!$H:$N,""))</f>
        <v/>
      </c>
      <c r="I107" s="256"/>
    </row>
    <row r="108" spans="2:10" hidden="1" outlineLevel="1" x14ac:dyDescent="0.3">
      <c r="C108" s="255" t="str">
        <f>_xlfn.CONCAT(_xlfn.XLOOKUP("[S10_InstallationsPriorPenaltiesEnforcedDetail][16][TypeInfringement]",Submission!$O:$O,Submission!$H:$N,""))</f>
        <v/>
      </c>
      <c r="D108" s="460"/>
      <c r="E108" s="256"/>
      <c r="F108" s="255" t="str">
        <f>_xlfn.CONCAT(_xlfn.XLOOKUP("[S10_InstallationsPriorPenaltiesEnforcedDetail][16][TypePenalty]",Submission!$O:$O,Submission!$H:$N,""))</f>
        <v/>
      </c>
      <c r="G108" s="256"/>
      <c r="H108" s="255" t="str">
        <f>_xlfn.CONCAT(_xlfn.XLOOKUP("[S10_InstallationsPriorPenaltiesEnforcedDetail][16][ReportinYear]",Submission!$O:$O,Submission!$H:$N,""))</f>
        <v/>
      </c>
      <c r="I108" s="256"/>
    </row>
    <row r="109" spans="2:10" hidden="1" outlineLevel="1" x14ac:dyDescent="0.3">
      <c r="C109" s="255" t="str">
        <f>_xlfn.CONCAT(_xlfn.XLOOKUP("[S10_InstallationsPriorPenaltiesEnforcedDetail][17][TypeInfringement]",Submission!$O:$O,Submission!$H:$N,""))</f>
        <v/>
      </c>
      <c r="D109" s="460"/>
      <c r="E109" s="256"/>
      <c r="F109" s="255" t="str">
        <f>_xlfn.CONCAT(_xlfn.XLOOKUP("[S10_InstallationsPriorPenaltiesEnforcedDetail][17][TypePenalty]",Submission!$O:$O,Submission!$H:$N,""))</f>
        <v/>
      </c>
      <c r="G109" s="256"/>
      <c r="H109" s="255" t="str">
        <f>_xlfn.CONCAT(_xlfn.XLOOKUP("[S10_InstallationsPriorPenaltiesEnforcedDetail][17][ReportinYear]",Submission!$O:$O,Submission!$H:$N,""))</f>
        <v/>
      </c>
      <c r="I109" s="256"/>
    </row>
    <row r="110" spans="2:10" collapsed="1" x14ac:dyDescent="0.3">
      <c r="B110" s="26" t="s">
        <v>1000</v>
      </c>
      <c r="C110" s="16"/>
      <c r="D110" s="19"/>
      <c r="E110" s="11"/>
      <c r="F110" s="11"/>
      <c r="G110" s="11"/>
      <c r="H110" s="11"/>
      <c r="I110" s="11"/>
    </row>
    <row r="111" spans="2:10" x14ac:dyDescent="0.3">
      <c r="C111" s="418" t="s">
        <v>1248</v>
      </c>
      <c r="D111" s="477"/>
      <c r="E111" s="477"/>
      <c r="F111" s="477"/>
      <c r="G111" s="477"/>
      <c r="H111" s="477"/>
      <c r="I111" s="477"/>
      <c r="J111" s="477"/>
    </row>
    <row r="112" spans="2:10" ht="15.9" customHeight="1" x14ac:dyDescent="0.3"/>
    <row r="113" spans="1:9" ht="32.1" customHeight="1" x14ac:dyDescent="0.3">
      <c r="A113" s="12" t="s">
        <v>582</v>
      </c>
      <c r="B113" s="275" t="s">
        <v>1301</v>
      </c>
      <c r="C113" s="276"/>
      <c r="D113" s="276"/>
      <c r="E113" s="276"/>
      <c r="F113" s="276"/>
      <c r="G113" s="276"/>
      <c r="H113" s="276"/>
      <c r="I113" s="276"/>
    </row>
    <row r="114" spans="1:9" ht="15.9" customHeight="1" x14ac:dyDescent="0.3">
      <c r="A114" s="12"/>
      <c r="B114" s="22"/>
      <c r="C114" s="314" t="s">
        <v>869</v>
      </c>
      <c r="D114" s="315"/>
      <c r="E114" s="316"/>
      <c r="F114" s="314" t="s">
        <v>1302</v>
      </c>
      <c r="G114" s="315"/>
      <c r="H114" s="315"/>
      <c r="I114" s="316"/>
    </row>
    <row r="115" spans="1:9" ht="15.9" customHeight="1" x14ac:dyDescent="0.3">
      <c r="A115" s="12"/>
      <c r="B115" s="23"/>
      <c r="C115" s="258" t="str">
        <f>_xlfn.CONCAT(_xlfn.XLOOKUP("[S10_InstallationPenalties][1][InstallationID]",Submission!$O:$O,Submission!$H:$N,""))</f>
        <v>367</v>
      </c>
      <c r="D115" s="353"/>
      <c r="E115" s="260"/>
      <c r="F115" s="258" t="str">
        <f>_xlfn.CONCAT(_xlfn.XLOOKUP("[S10_InstallationPenalties][1][OperatorName]",Submission!$O:$O,Submission!$H:$N,""))</f>
        <v>Energy Ústí nad Labem, a.s.</v>
      </c>
      <c r="G115" s="353"/>
      <c r="H115" s="353"/>
      <c r="I115" s="260"/>
    </row>
    <row r="116" spans="1:9" ht="15.9" customHeight="1" x14ac:dyDescent="0.3">
      <c r="A116" s="12"/>
      <c r="B116" s="23"/>
      <c r="C116" s="258" t="str">
        <f>_xlfn.CONCAT(_xlfn.XLOOKUP("[S10_InstallationPenalties][2][InstallationID]",Submission!$O:$O,Submission!$H:$N,""))</f>
        <v>95</v>
      </c>
      <c r="D116" s="353"/>
      <c r="E116" s="260"/>
      <c r="F116" s="258" t="str">
        <f>_xlfn.CONCAT(_xlfn.XLOOKUP("[S10_InstallationPenalties][2][OperatorName]",Submission!$O:$O,Submission!$H:$N,""))</f>
        <v>Výroba a prodej tepla Příbram, a.s.</v>
      </c>
      <c r="G116" s="353"/>
      <c r="H116" s="353"/>
      <c r="I116" s="260"/>
    </row>
    <row r="117" spans="1:9" ht="15.9" hidden="1" customHeight="1" outlineLevel="1" x14ac:dyDescent="0.3">
      <c r="A117" s="12"/>
      <c r="B117" s="23"/>
      <c r="C117" s="258" t="str">
        <f>_xlfn.CONCAT(_xlfn.XLOOKUP("[S10_InstallationPenalties][3][InstallationID]",Submission!$O:$O,Submission!$H:$N,""))</f>
        <v/>
      </c>
      <c r="D117" s="353"/>
      <c r="E117" s="260"/>
      <c r="F117" s="258" t="str">
        <f>_xlfn.CONCAT(_xlfn.XLOOKUP("[S10_InstallationPenalties][3][OperatorName]",Submission!$O:$O,Submission!$H:$N,""))</f>
        <v/>
      </c>
      <c r="G117" s="353"/>
      <c r="H117" s="353"/>
      <c r="I117" s="260"/>
    </row>
    <row r="118" spans="1:9" ht="15.9" hidden="1" customHeight="1" outlineLevel="1" x14ac:dyDescent="0.3">
      <c r="A118" s="12"/>
      <c r="B118" s="23"/>
      <c r="C118" s="258" t="str">
        <f>_xlfn.CONCAT(_xlfn.XLOOKUP("[S10_InstallationPenalties][4][InstallationID]",Submission!$O:$O,Submission!$H:$N,""))</f>
        <v/>
      </c>
      <c r="D118" s="353"/>
      <c r="E118" s="260"/>
      <c r="F118" s="258" t="str">
        <f>_xlfn.CONCAT(_xlfn.XLOOKUP("[S10_InstallationPenalties][4][OperatorName]",Submission!$O:$O,Submission!$H:$N,""))</f>
        <v/>
      </c>
      <c r="G118" s="353"/>
      <c r="H118" s="353"/>
      <c r="I118" s="260"/>
    </row>
    <row r="119" spans="1:9" ht="15.9" hidden="1" customHeight="1" outlineLevel="1" x14ac:dyDescent="0.3">
      <c r="A119" s="12"/>
      <c r="B119" s="23"/>
      <c r="C119" s="258" t="str">
        <f>_xlfn.CONCAT(_xlfn.XLOOKUP("[S10_InstallationPenalties][5][InstallationID]",Submission!$O:$O,Submission!$H:$N,""))</f>
        <v/>
      </c>
      <c r="D119" s="353"/>
      <c r="E119" s="260"/>
      <c r="F119" s="258" t="str">
        <f>_xlfn.CONCAT(_xlfn.XLOOKUP("[S10_InstallationPenalties][5][OperatorName]",Submission!$O:$O,Submission!$H:$N,""))</f>
        <v/>
      </c>
      <c r="G119" s="353"/>
      <c r="H119" s="353"/>
      <c r="I119" s="260"/>
    </row>
    <row r="120" spans="1:9" ht="15.9" hidden="1" customHeight="1" outlineLevel="1" x14ac:dyDescent="0.3">
      <c r="A120" s="12"/>
      <c r="B120" s="23"/>
      <c r="C120" s="258" t="str">
        <f>_xlfn.CONCAT(_xlfn.XLOOKUP("[S10_InstallationPenalties][6][InstallationID]",Submission!$O:$O,Submission!$H:$N,""))</f>
        <v/>
      </c>
      <c r="D120" s="353"/>
      <c r="E120" s="260"/>
      <c r="F120" s="258" t="str">
        <f>_xlfn.CONCAT(_xlfn.XLOOKUP("[S10_InstallationPenalties][6][OperatorName]",Submission!$O:$O,Submission!$H:$N,""))</f>
        <v/>
      </c>
      <c r="G120" s="353"/>
      <c r="H120" s="353"/>
      <c r="I120" s="260"/>
    </row>
    <row r="121" spans="1:9" ht="15.9" hidden="1" customHeight="1" outlineLevel="1" x14ac:dyDescent="0.3">
      <c r="A121" s="12"/>
      <c r="B121" s="23"/>
      <c r="C121" s="258" t="str">
        <f>_xlfn.CONCAT(_xlfn.XLOOKUP("[S10_InstallationPenalties][7][InstallationID]",Submission!$O:$O,Submission!$H:$N,""))</f>
        <v/>
      </c>
      <c r="D121" s="353"/>
      <c r="E121" s="260"/>
      <c r="F121" s="258" t="str">
        <f>_xlfn.CONCAT(_xlfn.XLOOKUP("[S10_InstallationPenalties][7][OperatorName]",Submission!$O:$O,Submission!$H:$N,""))</f>
        <v/>
      </c>
      <c r="G121" s="353"/>
      <c r="H121" s="353"/>
      <c r="I121" s="260"/>
    </row>
    <row r="122" spans="1:9" ht="15.9" hidden="1" customHeight="1" outlineLevel="1" x14ac:dyDescent="0.3">
      <c r="A122" s="12"/>
      <c r="B122" s="23"/>
      <c r="C122" s="258" t="str">
        <f>_xlfn.CONCAT(_xlfn.XLOOKUP("[S10_InstallationPenalties][8][InstallationID]",Submission!$O:$O,Submission!$H:$N,""))</f>
        <v/>
      </c>
      <c r="D122" s="353"/>
      <c r="E122" s="260"/>
      <c r="F122" s="258" t="str">
        <f>_xlfn.CONCAT(_xlfn.XLOOKUP("[S10_InstallationPenalties][8][OperatorName]",Submission!$O:$O,Submission!$H:$N,""))</f>
        <v/>
      </c>
      <c r="G122" s="353"/>
      <c r="H122" s="353"/>
      <c r="I122" s="260"/>
    </row>
    <row r="123" spans="1:9" ht="15.9" hidden="1" customHeight="1" outlineLevel="1" x14ac:dyDescent="0.3">
      <c r="A123" s="12"/>
      <c r="B123" s="23"/>
      <c r="C123" s="258" t="str">
        <f>_xlfn.CONCAT(_xlfn.XLOOKUP("[S10_InstallationPenalties][9][InstallationID]",Submission!$O:$O,Submission!$H:$N,""))</f>
        <v/>
      </c>
      <c r="D123" s="353"/>
      <c r="E123" s="260"/>
      <c r="F123" s="258" t="str">
        <f>_xlfn.CONCAT(_xlfn.XLOOKUP("[S10_InstallationPenalties][9][OperatorName]",Submission!$O:$O,Submission!$H:$N,""))</f>
        <v/>
      </c>
      <c r="G123" s="353"/>
      <c r="H123" s="353"/>
      <c r="I123" s="260"/>
    </row>
    <row r="124" spans="1:9" ht="15.9" hidden="1" customHeight="1" outlineLevel="1" x14ac:dyDescent="0.3">
      <c r="A124" s="12"/>
      <c r="B124" s="23"/>
      <c r="C124" s="258" t="str">
        <f>_xlfn.CONCAT(_xlfn.XLOOKUP("[S10_InstallationPenalties][10][InstallationID]",Submission!$O:$O,Submission!$H:$N,""))</f>
        <v/>
      </c>
      <c r="D124" s="353"/>
      <c r="E124" s="260"/>
      <c r="F124" s="258" t="str">
        <f>_xlfn.CONCAT(_xlfn.XLOOKUP("[S10_InstallationPenalties][10][OperatorName]",Submission!$O:$O,Submission!$H:$N,""))</f>
        <v/>
      </c>
      <c r="G124" s="353"/>
      <c r="H124" s="353"/>
      <c r="I124" s="260"/>
    </row>
    <row r="125" spans="1:9" ht="15.9" hidden="1" customHeight="1" outlineLevel="1" x14ac:dyDescent="0.3">
      <c r="A125" s="12"/>
      <c r="B125" s="23"/>
      <c r="C125" s="258" t="str">
        <f>_xlfn.CONCAT(_xlfn.XLOOKUP("[S10_InstallationPenalties][11][InstallationID]",Submission!$O:$O,Submission!$H:$N,""))</f>
        <v/>
      </c>
      <c r="D125" s="353"/>
      <c r="E125" s="260"/>
      <c r="F125" s="258" t="str">
        <f>_xlfn.CONCAT(_xlfn.XLOOKUP("[S10_InstallationPenalties][11][OperatorName]",Submission!$O:$O,Submission!$H:$N,""))</f>
        <v/>
      </c>
      <c r="G125" s="353"/>
      <c r="H125" s="353"/>
      <c r="I125" s="260"/>
    </row>
    <row r="126" spans="1:9" ht="15.9" hidden="1" customHeight="1" outlineLevel="1" x14ac:dyDescent="0.3">
      <c r="A126" s="12"/>
      <c r="B126" s="23"/>
      <c r="C126" s="258" t="str">
        <f>_xlfn.CONCAT(_xlfn.XLOOKUP("[S10_InstallationPenalties][12][InstallationID]",Submission!$O:$O,Submission!$H:$N,""))</f>
        <v/>
      </c>
      <c r="D126" s="353"/>
      <c r="E126" s="260"/>
      <c r="F126" s="258" t="str">
        <f>_xlfn.CONCAT(_xlfn.XLOOKUP("[S10_InstallationPenalties][12][OperatorName]",Submission!$O:$O,Submission!$H:$N,""))</f>
        <v/>
      </c>
      <c r="G126" s="353"/>
      <c r="H126" s="353"/>
      <c r="I126" s="260"/>
    </row>
    <row r="127" spans="1:9" ht="15.9" customHeight="1" collapsed="1" x14ac:dyDescent="0.3">
      <c r="A127" s="13"/>
      <c r="B127" s="26" t="s">
        <v>1000</v>
      </c>
      <c r="C127" s="19"/>
    </row>
    <row r="128" spans="1:9" ht="15.9" customHeight="1" x14ac:dyDescent="0.3">
      <c r="A128" s="13"/>
      <c r="B128" s="16"/>
      <c r="C128" s="279" t="s">
        <v>1033</v>
      </c>
      <c r="D128" s="280"/>
      <c r="E128" s="280"/>
      <c r="F128" s="280"/>
      <c r="G128" s="280"/>
      <c r="H128" s="280"/>
      <c r="I128" s="280"/>
    </row>
    <row r="129" spans="1:9" ht="15.9" customHeight="1" x14ac:dyDescent="0.3">
      <c r="A129" s="13"/>
    </row>
    <row r="130" spans="1:9" s="7" customFormat="1" ht="18.899999999999999" customHeight="1" x14ac:dyDescent="0.35">
      <c r="A130" s="85" t="s">
        <v>1303</v>
      </c>
      <c r="B130" s="310" t="s">
        <v>97</v>
      </c>
      <c r="C130" s="310"/>
      <c r="D130" s="310"/>
      <c r="E130" s="310"/>
      <c r="F130" s="310"/>
      <c r="G130" s="310"/>
      <c r="H130" s="310"/>
      <c r="I130" s="311"/>
    </row>
    <row r="131" spans="1:9" ht="32.1" customHeight="1" x14ac:dyDescent="0.3">
      <c r="A131" s="12" t="s">
        <v>586</v>
      </c>
      <c r="B131" s="275" t="s">
        <v>1304</v>
      </c>
      <c r="C131" s="276"/>
      <c r="D131" s="276"/>
      <c r="E131" s="276"/>
      <c r="F131" s="276"/>
      <c r="G131" s="276"/>
      <c r="H131" s="276"/>
      <c r="I131" s="276"/>
    </row>
    <row r="132" spans="1:9" x14ac:dyDescent="0.3">
      <c r="A132" s="12"/>
      <c r="B132" s="23"/>
      <c r="C132" s="538" t="s">
        <v>1305</v>
      </c>
      <c r="D132" s="539"/>
      <c r="E132" s="539"/>
      <c r="F132" s="539"/>
      <c r="G132" s="540"/>
      <c r="H132" s="53" t="s">
        <v>709</v>
      </c>
      <c r="I132" s="53" t="s">
        <v>1306</v>
      </c>
    </row>
    <row r="133" spans="1:9" x14ac:dyDescent="0.3">
      <c r="A133" s="12"/>
      <c r="B133" s="23"/>
      <c r="C133" s="249" t="s">
        <v>1307</v>
      </c>
      <c r="D133" s="272"/>
      <c r="E133" s="272"/>
      <c r="F133" s="272"/>
      <c r="G133" s="273"/>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9" t="s">
        <v>1282</v>
      </c>
      <c r="D134" s="272"/>
      <c r="E134" s="272"/>
      <c r="F134" s="272"/>
      <c r="G134" s="273"/>
      <c r="H134" s="47" t="str">
        <f>_xlfn.CONCAT(_xlfn.XLOOKUP("[S10_AircraftComplianceMeasures][2][ComplianceMeasuresYesNo]",Submission!$O:$O,Submission!$H:$N,""))</f>
        <v>Yes</v>
      </c>
      <c r="I134" s="72" t="str">
        <f>_xlfn.CONCAT(_xlfn.XLOOKUP("[S10_AircraftComplianceMeasures][2][ComplianceMeasuresComment]",Submission!$O:$O,Submission!$H:$N,""))</f>
        <v>In cases of insolvency /liquidation.</v>
      </c>
    </row>
    <row r="135" spans="1:9" x14ac:dyDescent="0.3">
      <c r="A135" s="12"/>
      <c r="B135" s="23"/>
      <c r="C135" s="249" t="s">
        <v>1308</v>
      </c>
      <c r="D135" s="272"/>
      <c r="E135" s="272"/>
      <c r="F135" s="272"/>
      <c r="G135" s="273"/>
      <c r="H135" s="47" t="str">
        <f>_xlfn.CONCAT(_xlfn.XLOOKUP("[S10_AircraftComplianceMeasures][3][ComplianceMeasuresYesNo]",Submission!$O:$O,Submission!$H:$N,""))</f>
        <v>Yes</v>
      </c>
      <c r="I135" s="72" t="str">
        <f>_xlfn.CONCAT(_xlfn.XLOOKUP("[S10_AircraftComplianceMeasures][3][ComplianceMeasuresComment]",Submission!$O:$O,Submission!$H:$N,""))</f>
        <v>Suspension of the account</v>
      </c>
    </row>
    <row r="136" spans="1:9" x14ac:dyDescent="0.3">
      <c r="A136" s="12"/>
      <c r="B136" s="23"/>
      <c r="C136" s="249" t="s">
        <v>1309</v>
      </c>
      <c r="D136" s="272"/>
      <c r="E136" s="272"/>
      <c r="F136" s="272"/>
      <c r="G136" s="273"/>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9" t="s">
        <v>697</v>
      </c>
      <c r="D137" s="273"/>
      <c r="E137" s="258" t="str">
        <f>_xlfn.CONCAT(_xlfn.XLOOKUP("[S10_AircraftComplianceMeasures][5][ComplianceMeasuresOther]",Submission!$O:$O,Submission!$H:$N,""))</f>
        <v/>
      </c>
      <c r="F137" s="353"/>
      <c r="G137" s="260"/>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9" t="s">
        <v>1257</v>
      </c>
      <c r="D138" s="273"/>
      <c r="E138" s="258" t="str">
        <f>_xlfn.CONCAT(_xlfn.XLOOKUP("[S10_AircraftComplianceMeasures][6][ComplianceMeasuresOther]",Submission!$O:$O,Submission!$H:$N,""))</f>
        <v/>
      </c>
      <c r="F138" s="353"/>
      <c r="G138" s="260"/>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3"/>
      <c r="E139" s="258" t="str">
        <f>_xlfn.CONCAT(_xlfn.XLOOKUP("[S10_AircraftComplianceMeasures][7][ComplianceMeasuresOther]",Submission!$O:$O,Submission!$H:$N,""))</f>
        <v/>
      </c>
      <c r="F139" s="353"/>
      <c r="G139" s="260"/>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3"/>
      <c r="E140" s="258" t="str">
        <f>_xlfn.CONCAT(_xlfn.XLOOKUP("[S10_AircraftComplianceMeasures][8][ComplianceMeasuresOther]",Submission!$O:$O,Submission!$H:$N,""))</f>
        <v/>
      </c>
      <c r="F140" s="353"/>
      <c r="G140" s="260"/>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2" t="s">
        <v>1310</v>
      </c>
      <c r="C143" s="393"/>
      <c r="D143" s="393"/>
      <c r="E143" s="393"/>
      <c r="F143" s="393"/>
      <c r="G143" s="393"/>
      <c r="H143" s="393"/>
      <c r="I143" s="393"/>
    </row>
    <row r="144" spans="1:9" ht="33.6" customHeight="1" x14ac:dyDescent="0.3">
      <c r="A144" s="13"/>
      <c r="B144" s="338" t="s">
        <v>1286</v>
      </c>
      <c r="C144" s="308"/>
      <c r="D144" s="308"/>
      <c r="E144" s="308"/>
      <c r="F144" s="308"/>
      <c r="G144" s="308"/>
      <c r="H144" s="308"/>
      <c r="I144" s="308"/>
    </row>
    <row r="145" spans="1:9" x14ac:dyDescent="0.3">
      <c r="A145" s="13"/>
      <c r="C145" s="547" t="s">
        <v>1224</v>
      </c>
      <c r="D145" s="548"/>
      <c r="E145" s="551" t="s">
        <v>1225</v>
      </c>
      <c r="F145" s="551"/>
      <c r="G145" s="551" t="s">
        <v>1226</v>
      </c>
      <c r="H145" s="551"/>
      <c r="I145" s="532" t="s">
        <v>1227</v>
      </c>
    </row>
    <row r="146" spans="1:9" ht="15.9" customHeight="1" x14ac:dyDescent="0.3">
      <c r="A146" s="13"/>
      <c r="C146" s="549"/>
      <c r="D146" s="550"/>
      <c r="E146" s="43" t="s">
        <v>1311</v>
      </c>
      <c r="F146" s="43" t="s">
        <v>1229</v>
      </c>
      <c r="G146" s="43" t="s">
        <v>1228</v>
      </c>
      <c r="H146" s="43" t="s">
        <v>1229</v>
      </c>
      <c r="I146" s="533"/>
    </row>
    <row r="147" spans="1:9" ht="37.200000000000003" customHeight="1" x14ac:dyDescent="0.3">
      <c r="A147" s="13"/>
      <c r="C147" s="249" t="s">
        <v>1289</v>
      </c>
      <c r="D147" s="273"/>
      <c r="E147" s="105" t="str">
        <f>_xlfn.CONCAT(_xlfn.XLOOKUP("[S10_AircraftInfringementPenalties][1][MinFine]",Submission!$O:$O,Submission!$H:$N,""))</f>
        <v>0</v>
      </c>
      <c r="F147" s="105" t="str">
        <f>_xlfn.CONCAT(_xlfn.XLOOKUP("[S10_AircraftInfringementPenalties][1][MaxFine]",Submission!$O:$O,Submission!$H:$N,""))</f>
        <v>800000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9" t="s">
        <v>1290</v>
      </c>
      <c r="D148" s="273"/>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9" t="s">
        <v>1312</v>
      </c>
      <c r="D149" s="273"/>
      <c r="E149" s="105" t="str">
        <f>_xlfn.CONCAT(_xlfn.XLOOKUP("[S10_AircraftInfringementPenalties][3][MinFine]",Submission!$O:$O,Submission!$H:$N,""))</f>
        <v>0</v>
      </c>
      <c r="F149" s="105" t="str">
        <f>_xlfn.CONCAT(_xlfn.XLOOKUP("[S10_AircraftInfringementPenalties][3][MaxFine]",Submission!$O:$O,Submission!$H:$N,""))</f>
        <v>800000</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9" t="s">
        <v>1293</v>
      </c>
      <c r="D150" s="273"/>
      <c r="E150" s="105" t="str">
        <f>_xlfn.CONCAT(_xlfn.XLOOKUP("[S10_AircraftInfringementPenalties][4][MinFine]",Submission!$O:$O,Submission!$H:$N,""))</f>
        <v>0</v>
      </c>
      <c r="F150" s="105" t="str">
        <f>_xlfn.CONCAT(_xlfn.XLOOKUP("[S10_AircraftInfringementPenalties][4][MaxFine]",Submission!$O:$O,Submission!$H:$N,""))</f>
        <v>20000</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9" t="s">
        <v>1313</v>
      </c>
      <c r="D151" s="273"/>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9" t="s">
        <v>1294</v>
      </c>
      <c r="D152" s="273"/>
      <c r="E152" s="105" t="str">
        <f>_xlfn.CONCAT(_xlfn.XLOOKUP("[S10_AircraftInfringementPenalties][6][MinFine]",Submission!$O:$O,Submission!$H:$N,""))</f>
        <v>0</v>
      </c>
      <c r="F152" s="105" t="str">
        <f>_xlfn.CONCAT(_xlfn.XLOOKUP("[S10_AircraftInfringementPenalties][6][MaxFine]",Submission!$O:$O,Submission!$H:$N,""))</f>
        <v>20000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9" t="s">
        <v>1295</v>
      </c>
      <c r="D153" s="273"/>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9" t="s">
        <v>1296</v>
      </c>
      <c r="D154" s="273"/>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9" t="s">
        <v>1297</v>
      </c>
      <c r="D155" s="273"/>
      <c r="E155" s="105" t="str">
        <f>_xlfn.CONCAT(_xlfn.XLOOKUP("[S10_AircraftInfringementPenalties][9][MinFine]",Submission!$O:$O,Submission!$H:$N,""))</f>
        <v/>
      </c>
      <c r="F155" s="105" t="str">
        <f>_xlfn.CONCAT(_xlfn.XLOOKUP("[S10_AircraftInfringementPenalties][9][MaxFine]",Submission!$O:$O,Submission!$H:$N,""))</f>
        <v>800000</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9" t="s">
        <v>1314</v>
      </c>
      <c r="D156" s="273"/>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9" t="s">
        <v>1315</v>
      </c>
      <c r="D157" s="273"/>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Failure to apply for the opening of an account in the EU Registry</v>
      </c>
      <c r="E158" s="105" t="str">
        <f>_xlfn.CONCAT(_xlfn.XLOOKUP("[S10_AircraftInfringementPenalties][12][MinFine]",Submission!$O:$O,Submission!$H:$N,""))</f>
        <v>0</v>
      </c>
      <c r="F158" s="105" t="str">
        <f>_xlfn.CONCAT(_xlfn.XLOOKUP("[S10_AircraftInfringementPenalties][12][MaxFine]",Submission!$O:$O,Submission!$H:$N,""))</f>
        <v>4000</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Failure to surrender or return emission allowances</v>
      </c>
      <c r="E159" s="105" t="str">
        <f>_xlfn.CONCAT(_xlfn.XLOOKUP("[S10_AircraftInfringementPenalties][13][MinFine]",Submission!$O:$O,Submission!$H:$N,""))</f>
        <v/>
      </c>
      <c r="F159" s="105" t="str">
        <f>_xlfn.CONCAT(_xlfn.XLOOKUP("[S10_AircraftInfringementPenalties][13][MaxFine]",Submission!$O:$O,Submission!$H:$N,""))</f>
        <v>100</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Fine equal to 100 EUR per unsurrendered allowance
increased by harmonised index of consumer prices
since 2013 (not releasing from obligation to
surrender allowances)</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38" t="s">
        <v>1298</v>
      </c>
      <c r="C164" s="308"/>
      <c r="D164" s="308"/>
      <c r="E164" s="308"/>
      <c r="F164" s="308"/>
      <c r="G164" s="308"/>
      <c r="H164" s="308"/>
      <c r="I164" s="308"/>
    </row>
    <row r="165" spans="1:9" ht="15.9" customHeight="1" x14ac:dyDescent="0.3">
      <c r="B165" s="18"/>
      <c r="C165" s="394" t="str">
        <f>_xlfn.CONCAT(_xlfn.XLOOKUP("[AircraftNationalLaw][0][AircraftNationalLaw]",Submission!$O:$O,Submission!$H:$N,""))</f>
        <v>Emission Trading Act Nr. 383/2012 Coll.</v>
      </c>
      <c r="D165" s="394"/>
      <c r="E165" s="394"/>
      <c r="F165" s="394"/>
      <c r="G165" s="394"/>
      <c r="H165" s="394"/>
      <c r="I165" s="394"/>
    </row>
    <row r="166" spans="1:9" ht="15.9" customHeight="1" x14ac:dyDescent="0.3">
      <c r="B166" s="16"/>
      <c r="C166" s="14"/>
      <c r="D166" s="14"/>
      <c r="E166" s="14"/>
      <c r="F166" s="14"/>
      <c r="G166" s="14"/>
      <c r="H166" s="14"/>
      <c r="I166" s="14"/>
    </row>
    <row r="167" spans="1:9" ht="32.1" customHeight="1" x14ac:dyDescent="0.3">
      <c r="A167" s="12" t="s">
        <v>594</v>
      </c>
      <c r="B167" s="338" t="s">
        <v>1316</v>
      </c>
      <c r="C167" s="308"/>
      <c r="D167" s="308"/>
      <c r="E167" s="308"/>
      <c r="F167" s="308"/>
      <c r="G167" s="308"/>
      <c r="H167" s="308"/>
      <c r="I167" s="308"/>
    </row>
    <row r="168" spans="1:9" ht="15.9" customHeight="1" x14ac:dyDescent="0.3">
      <c r="A168" s="13"/>
      <c r="C168" s="466" t="s">
        <v>1317</v>
      </c>
      <c r="D168" s="466"/>
      <c r="E168" s="466"/>
      <c r="F168" s="466"/>
      <c r="G168" s="466"/>
      <c r="H168" s="466"/>
      <c r="I168" s="466"/>
    </row>
    <row r="169" spans="1:9" ht="25.5" customHeight="1" x14ac:dyDescent="0.3">
      <c r="A169" s="13"/>
      <c r="C169" s="484" t="s">
        <v>1224</v>
      </c>
      <c r="D169" s="534"/>
      <c r="E169" s="269" t="s">
        <v>1240</v>
      </c>
      <c r="F169" s="270"/>
      <c r="G169" s="271"/>
      <c r="H169" s="482" t="s">
        <v>1241</v>
      </c>
      <c r="I169" s="482" t="s">
        <v>1318</v>
      </c>
    </row>
    <row r="170" spans="1:9" ht="29.25" customHeight="1" x14ac:dyDescent="0.3">
      <c r="A170" s="13"/>
      <c r="C170" s="535"/>
      <c r="D170" s="536"/>
      <c r="E170" s="42" t="s">
        <v>1225</v>
      </c>
      <c r="F170" s="42" t="s">
        <v>1226</v>
      </c>
      <c r="G170" s="42" t="s">
        <v>1227</v>
      </c>
      <c r="H170" s="537"/>
      <c r="I170" s="537"/>
    </row>
    <row r="171" spans="1:9" ht="39.6" customHeight="1" x14ac:dyDescent="0.3">
      <c r="A171" s="13"/>
      <c r="C171" s="258" t="str">
        <f>_xlfn.CONCAT(_xlfn.XLOOKUP("[S10_AircraftPenaltiesImposed][1][InfringementType]",Submission!$O:$O,Submission!$H:$N,""))</f>
        <v/>
      </c>
      <c r="D171" s="260"/>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58" t="str">
        <f>_xlfn.CONCAT(_xlfn.XLOOKUP("[S10_AircraftPenaltiesImposed][2][InfringementType]",Submission!$O:$O,Submission!$H:$N,""))</f>
        <v/>
      </c>
      <c r="D172" s="260"/>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58" t="str">
        <f>_xlfn.CONCAT(_xlfn.XLOOKUP("[S10_AircraftPenaltiesImposed][3][InfringementType]",Submission!$O:$O,Submission!$H:$N,""))</f>
        <v/>
      </c>
      <c r="D173" s="260"/>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58" t="str">
        <f>_xlfn.CONCAT(_xlfn.XLOOKUP("[S10_AircraftPenaltiesImposed][4][InfringementType]",Submission!$O:$O,Submission!$H:$N,""))</f>
        <v/>
      </c>
      <c r="D174" s="260"/>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58" t="str">
        <f>_xlfn.CONCAT(_xlfn.XLOOKUP("[S10_AircraftPenaltiesImposed][5][InfringementType]",Submission!$O:$O,Submission!$H:$N,""))</f>
        <v/>
      </c>
      <c r="D175" s="260"/>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58" t="str">
        <f>_xlfn.CONCAT(_xlfn.XLOOKUP("[S10_AircraftPenaltiesImposed][6][InfringementType]",Submission!$O:$O,Submission!$H:$N,""))</f>
        <v/>
      </c>
      <c r="D176" s="260"/>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58" t="str">
        <f>_xlfn.CONCAT(_xlfn.XLOOKUP("[S10_AircraftPenaltiesImposed][7][InfringementType]",Submission!$O:$O,Submission!$H:$N,""))</f>
        <v/>
      </c>
      <c r="D177" s="260"/>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58" t="str">
        <f>_xlfn.CONCAT(_xlfn.XLOOKUP("[S10_AircraftPenaltiesImposed][8][InfringementType]",Submission!$O:$O,Submission!$H:$N,""))</f>
        <v/>
      </c>
      <c r="D178" s="260"/>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58" t="str">
        <f>_xlfn.CONCAT(_xlfn.XLOOKUP("[S10_AircraftPenaltiesImposed][9][InfringementType]",Submission!$O:$O,Submission!$H:$N,""))</f>
        <v/>
      </c>
      <c r="D179" s="260"/>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58" t="str">
        <f>_xlfn.CONCAT(_xlfn.XLOOKUP("[S10_AircraftPenaltiesImposed][10][InfringementType]",Submission!$O:$O,Submission!$H:$N,""))</f>
        <v/>
      </c>
      <c r="D180" s="260"/>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58" t="str">
        <f>_xlfn.CONCAT(_xlfn.XLOOKUP("[S10_AircraftPenaltiesImposed][11][InfringementType]",Submission!$O:$O,Submission!$H:$N,""))</f>
        <v/>
      </c>
      <c r="D181" s="260"/>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58" t="str">
        <f>_xlfn.CONCAT(_xlfn.XLOOKUP("[S10_AircraftPenaltiesImposed][12][InfringementType]",Submission!$O:$O,Submission!$H:$N,""))</f>
        <v/>
      </c>
      <c r="D182" s="260"/>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58" t="str">
        <f>_xlfn.CONCAT(_xlfn.XLOOKUP("[S10_AircraftPenaltiesImposed][13][InfringementType]",Submission!$O:$O,Submission!$H:$N,""))</f>
        <v/>
      </c>
      <c r="D183" s="260"/>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78" t="s">
        <v>1244</v>
      </c>
      <c r="C186" s="478"/>
      <c r="D186" s="478"/>
      <c r="E186" s="478"/>
      <c r="F186" s="478"/>
      <c r="G186" s="478"/>
      <c r="H186" s="479"/>
      <c r="I186" s="41" t="str">
        <f>_xlfn.CONCAT(_xlfn.XLOOKUP("[AircraftPriorPenaltiesEnforced][0][AircraftPriorPenaltiesEnforced]",Submission!$O:$O,Submission!$H:$N,""))</f>
        <v>No</v>
      </c>
    </row>
    <row r="187" spans="1:9" ht="16.2" customHeight="1" x14ac:dyDescent="0.3">
      <c r="B187" s="338" t="s">
        <v>1245</v>
      </c>
      <c r="C187" s="308"/>
      <c r="D187" s="308"/>
      <c r="E187" s="308"/>
      <c r="F187" s="308"/>
      <c r="G187" s="308"/>
      <c r="H187" s="308"/>
      <c r="I187" s="308"/>
    </row>
    <row r="188" spans="1:9" x14ac:dyDescent="0.3">
      <c r="C188" s="435" t="s">
        <v>1224</v>
      </c>
      <c r="D188" s="436"/>
      <c r="E188" s="437"/>
      <c r="F188" s="435" t="s">
        <v>1246</v>
      </c>
      <c r="G188" s="437"/>
      <c r="H188" s="435" t="s">
        <v>1247</v>
      </c>
      <c r="I188" s="437"/>
    </row>
    <row r="189" spans="1:9" x14ac:dyDescent="0.3">
      <c r="C189" s="544" t="str">
        <f>_xlfn.CONCAT(_xlfn.XLOOKUP("[S10_AircraftPriorPenaltiesEnforcedDetail][1][TypeInfringement]",Submission!$O:$O,Submission!$H:$N,""))</f>
        <v/>
      </c>
      <c r="D189" s="545"/>
      <c r="E189" s="546"/>
      <c r="F189" s="552" t="str">
        <f>_xlfn.CONCAT(_xlfn.XLOOKUP("[S10_AircraftPriorPenaltiesEnforcedDetail][1][TypePenalty]",Submission!$O:$O,Submission!$H:$N,""))</f>
        <v/>
      </c>
      <c r="G189" s="553"/>
      <c r="H189" s="544" t="str">
        <f>_xlfn.CONCAT(_xlfn.XLOOKUP("[S10_AircraftPriorPenaltiesEnforcedDetail][1][ReportinYear]",Submission!$O:$O,Submission!$H:$N,""))</f>
        <v/>
      </c>
      <c r="I189" s="546"/>
    </row>
    <row r="190" spans="1:9" x14ac:dyDescent="0.3">
      <c r="C190" s="544" t="str">
        <f>_xlfn.CONCAT(_xlfn.XLOOKUP("[S10_AircraftPriorPenaltiesEnforcedDetail][2][TypeInfringement]",Submission!$O:$O,Submission!$H:$N,""))</f>
        <v/>
      </c>
      <c r="D190" s="545"/>
      <c r="E190" s="546"/>
      <c r="F190" s="552" t="str">
        <f>_xlfn.CONCAT(_xlfn.XLOOKUP("[S10_AircraftPriorPenaltiesEnforcedDetail][2][TypePenalty]",Submission!$O:$O,Submission!$H:$N,""))</f>
        <v/>
      </c>
      <c r="G190" s="553"/>
      <c r="H190" s="544" t="str">
        <f>_xlfn.CONCAT(_xlfn.XLOOKUP("[S10_AircraftPriorPenaltiesEnforcedDetail][2][ReportinYear]",Submission!$O:$O,Submission!$H:$N,""))</f>
        <v/>
      </c>
      <c r="I190" s="546"/>
    </row>
    <row r="191" spans="1:9" hidden="1" outlineLevel="1" x14ac:dyDescent="0.3">
      <c r="C191" s="544" t="str">
        <f>_xlfn.CONCAT(_xlfn.XLOOKUP("[S10_AircraftPriorPenaltiesEnforcedDetail][3][TypeInfringement]",Submission!$O:$O,Submission!$H:$N,""))</f>
        <v/>
      </c>
      <c r="D191" s="545"/>
      <c r="E191" s="546"/>
      <c r="F191" s="552" t="str">
        <f>_xlfn.CONCAT(_xlfn.XLOOKUP("[S10_AircraftPriorPenaltiesEnforcedDetail][3][TypePenalty]",Submission!$O:$O,Submission!$H:$N,""))</f>
        <v/>
      </c>
      <c r="G191" s="553"/>
      <c r="H191" s="544" t="str">
        <f>_xlfn.CONCAT(_xlfn.XLOOKUP("[S10_AircraftPriorPenaltiesEnforcedDetail][3][ReportinYear]",Submission!$O:$O,Submission!$H:$N,""))</f>
        <v/>
      </c>
      <c r="I191" s="546"/>
    </row>
    <row r="192" spans="1:9" hidden="1" outlineLevel="1" x14ac:dyDescent="0.3">
      <c r="C192" s="544" t="str">
        <f>_xlfn.CONCAT(_xlfn.XLOOKUP("[S10_AircraftPriorPenaltiesEnforcedDetail][4][TypeInfringement]",Submission!$O:$O,Submission!$H:$N,""))</f>
        <v/>
      </c>
      <c r="D192" s="545"/>
      <c r="E192" s="546"/>
      <c r="F192" s="552" t="str">
        <f>_xlfn.CONCAT(_xlfn.XLOOKUP("[S10_AircraftPriorPenaltiesEnforcedDetail][4][TypePenalty]",Submission!$O:$O,Submission!$H:$N,""))</f>
        <v/>
      </c>
      <c r="G192" s="553"/>
      <c r="H192" s="544" t="str">
        <f>_xlfn.CONCAT(_xlfn.XLOOKUP("[S10_AircraftPriorPenaltiesEnforcedDetail][4][ReportinYear]",Submission!$O:$O,Submission!$H:$N,""))</f>
        <v/>
      </c>
      <c r="I192" s="546"/>
    </row>
    <row r="193" spans="1:10" hidden="1" outlineLevel="1" x14ac:dyDescent="0.3">
      <c r="C193" s="544" t="str">
        <f>_xlfn.CONCAT(_xlfn.XLOOKUP("[S10_AircraftPriorPenaltiesEnforcedDetail][5][TypeInfringement]",Submission!$O:$O,Submission!$H:$N,""))</f>
        <v/>
      </c>
      <c r="D193" s="545"/>
      <c r="E193" s="546"/>
      <c r="F193" s="552" t="str">
        <f>_xlfn.CONCAT(_xlfn.XLOOKUP("[S10_AircraftPriorPenaltiesEnforcedDetail][5][TypePenalty]",Submission!$O:$O,Submission!$H:$N,""))</f>
        <v/>
      </c>
      <c r="G193" s="553"/>
      <c r="H193" s="544" t="str">
        <f>_xlfn.CONCAT(_xlfn.XLOOKUP("[S10_AircraftPriorPenaltiesEnforcedDetail][5][ReportinYear]",Submission!$O:$O,Submission!$H:$N,""))</f>
        <v/>
      </c>
      <c r="I193" s="546"/>
    </row>
    <row r="194" spans="1:10" hidden="1" outlineLevel="1" x14ac:dyDescent="0.3">
      <c r="C194" s="544" t="str">
        <f>_xlfn.CONCAT(_xlfn.XLOOKUP("[S10_AircraftPriorPenaltiesEnforcedDetail][6][TypeInfringement]",Submission!$O:$O,Submission!$H:$N,""))</f>
        <v/>
      </c>
      <c r="D194" s="545"/>
      <c r="E194" s="546"/>
      <c r="F194" s="552" t="str">
        <f>_xlfn.CONCAT(_xlfn.XLOOKUP("[S10_AircraftPriorPenaltiesEnforcedDetail][6][TypePenalty]",Submission!$O:$O,Submission!$H:$N,""))</f>
        <v/>
      </c>
      <c r="G194" s="553"/>
      <c r="H194" s="544" t="str">
        <f>_xlfn.CONCAT(_xlfn.XLOOKUP("[S10_AircraftPriorPenaltiesEnforcedDetail][6][ReportinYear]",Submission!$O:$O,Submission!$H:$N,""))</f>
        <v/>
      </c>
      <c r="I194" s="546"/>
    </row>
    <row r="195" spans="1:10" hidden="1" outlineLevel="1" x14ac:dyDescent="0.3">
      <c r="C195" s="544" t="str">
        <f>_xlfn.CONCAT(_xlfn.XLOOKUP("[S10_AircraftPriorPenaltiesEnforcedDetail][7][TypeInfringement]",Submission!$O:$O,Submission!$H:$N,""))</f>
        <v/>
      </c>
      <c r="D195" s="545"/>
      <c r="E195" s="546"/>
      <c r="F195" s="552" t="str">
        <f>_xlfn.CONCAT(_xlfn.XLOOKUP("[S10_AircraftPriorPenaltiesEnforcedDetail][7][TypePenalty]",Submission!$O:$O,Submission!$H:$N,""))</f>
        <v/>
      </c>
      <c r="G195" s="553"/>
      <c r="H195" s="544" t="str">
        <f>_xlfn.CONCAT(_xlfn.XLOOKUP("[S10_AircraftPriorPenaltiesEnforcedDetail][7][ReportinYear]",Submission!$O:$O,Submission!$H:$N,""))</f>
        <v/>
      </c>
      <c r="I195" s="546"/>
    </row>
    <row r="196" spans="1:10" hidden="1" outlineLevel="1" x14ac:dyDescent="0.3">
      <c r="C196" s="544" t="str">
        <f>_xlfn.CONCAT(_xlfn.XLOOKUP("[S10_AircraftPriorPenaltiesEnforcedDetail][8][TypeInfringement]",Submission!$O:$O,Submission!$H:$N,""))</f>
        <v/>
      </c>
      <c r="D196" s="545"/>
      <c r="E196" s="546"/>
      <c r="F196" s="552" t="str">
        <f>_xlfn.CONCAT(_xlfn.XLOOKUP("[S10_AircraftPriorPenaltiesEnforcedDetail][8][TypePenalty]",Submission!$O:$O,Submission!$H:$N,""))</f>
        <v/>
      </c>
      <c r="G196" s="553"/>
      <c r="H196" s="544" t="str">
        <f>_xlfn.CONCAT(_xlfn.XLOOKUP("[S10_AircraftPriorPenaltiesEnforcedDetail][8][ReportinYear]",Submission!$O:$O,Submission!$H:$N,""))</f>
        <v/>
      </c>
      <c r="I196" s="546"/>
    </row>
    <row r="197" spans="1:10" collapsed="1" x14ac:dyDescent="0.3">
      <c r="B197" s="26" t="s">
        <v>1000</v>
      </c>
      <c r="C197" s="16"/>
      <c r="D197" s="19"/>
      <c r="E197" s="11"/>
      <c r="F197" s="11"/>
      <c r="G197" s="11"/>
      <c r="H197" s="11"/>
      <c r="I197" s="11"/>
    </row>
    <row r="198" spans="1:10" x14ac:dyDescent="0.3">
      <c r="C198" s="418" t="s">
        <v>1248</v>
      </c>
      <c r="D198" s="477"/>
      <c r="E198" s="477"/>
      <c r="F198" s="477"/>
      <c r="G198" s="477"/>
      <c r="H198" s="477"/>
      <c r="I198" s="477"/>
      <c r="J198" s="477"/>
    </row>
    <row r="199" spans="1:10" ht="15.9" customHeight="1" x14ac:dyDescent="0.3">
      <c r="A199" s="13"/>
      <c r="B199" s="16"/>
      <c r="C199" s="20"/>
      <c r="D199" s="20"/>
      <c r="E199" s="20"/>
      <c r="F199" s="20"/>
      <c r="G199" s="20"/>
      <c r="H199" s="20"/>
      <c r="I199" s="20"/>
    </row>
    <row r="200" spans="1:10" ht="32.1" customHeight="1" x14ac:dyDescent="0.3">
      <c r="A200" s="12" t="s">
        <v>598</v>
      </c>
      <c r="B200" s="338" t="s">
        <v>1319</v>
      </c>
      <c r="C200" s="338"/>
      <c r="D200" s="338"/>
      <c r="E200" s="338"/>
      <c r="F200" s="338"/>
      <c r="G200" s="338"/>
      <c r="H200" s="338"/>
      <c r="I200" s="338"/>
    </row>
    <row r="201" spans="1:10" ht="15.9" customHeight="1" x14ac:dyDescent="0.3">
      <c r="A201" s="12"/>
      <c r="B201" s="22"/>
      <c r="C201" s="314" t="s">
        <v>1082</v>
      </c>
      <c r="D201" s="333"/>
      <c r="E201" s="334"/>
      <c r="F201" s="314" t="s">
        <v>1320</v>
      </c>
      <c r="G201" s="333"/>
      <c r="H201" s="333"/>
      <c r="I201" s="334"/>
    </row>
    <row r="202" spans="1:10" ht="15.9" customHeight="1" x14ac:dyDescent="0.3">
      <c r="A202" s="12"/>
      <c r="B202" s="23"/>
      <c r="C202" s="541" t="str">
        <f>_xlfn.CONCAT(_xlfn.XLOOKUP("[S10_AircraftPenalties][1][AircraftID]",Submission!$O:$O,Submission!$H:$N,""))</f>
        <v/>
      </c>
      <c r="D202" s="542"/>
      <c r="E202" s="543"/>
      <c r="F202" s="541" t="str">
        <f>_xlfn.CONCAT(_xlfn.XLOOKUP("[S10_AircraftPenalties][1][OperatorName]",Submission!$O:$O,Submission!$H:$N,""))</f>
        <v/>
      </c>
      <c r="G202" s="542"/>
      <c r="H202" s="542"/>
      <c r="I202" s="543"/>
    </row>
    <row r="203" spans="1:10" ht="15.9" customHeight="1" x14ac:dyDescent="0.3">
      <c r="A203" s="12"/>
      <c r="B203" s="23"/>
      <c r="C203" s="541" t="str">
        <f>_xlfn.CONCAT(_xlfn.XLOOKUP("[S10_AircraftPenalties][2][AircraftID]",Submission!$O:$O,Submission!$H:$N,""))</f>
        <v/>
      </c>
      <c r="D203" s="542"/>
      <c r="E203" s="543"/>
      <c r="F203" s="541" t="str">
        <f>_xlfn.CONCAT(_xlfn.XLOOKUP("[S10_AircraftPenalties][2][OperatorName]",Submission!$O:$O,Submission!$H:$N,""))</f>
        <v/>
      </c>
      <c r="G203" s="542"/>
      <c r="H203" s="542"/>
      <c r="I203" s="543"/>
    </row>
    <row r="204" spans="1:10" ht="15.9" hidden="1" customHeight="1" outlineLevel="1" x14ac:dyDescent="0.3">
      <c r="A204" s="12"/>
      <c r="B204" s="23"/>
      <c r="C204" s="541" t="str">
        <f>_xlfn.CONCAT(_xlfn.XLOOKUP("[S10_AircraftPenalties][3][AircraftID]",Submission!$O:$O,Submission!$H:$N,""))</f>
        <v/>
      </c>
      <c r="D204" s="542"/>
      <c r="E204" s="543"/>
      <c r="F204" s="541" t="str">
        <f>_xlfn.CONCAT(_xlfn.XLOOKUP("[S10_AircraftPenalties][3][OperatorName]",Submission!$O:$O,Submission!$H:$N,""))</f>
        <v/>
      </c>
      <c r="G204" s="542"/>
      <c r="H204" s="542"/>
      <c r="I204" s="543"/>
    </row>
    <row r="205" spans="1:10" ht="15.9" hidden="1" customHeight="1" outlineLevel="1" x14ac:dyDescent="0.3">
      <c r="A205" s="12"/>
      <c r="B205" s="23"/>
      <c r="C205" s="541" t="str">
        <f>_xlfn.CONCAT(_xlfn.XLOOKUP("[S10_AircraftPenalties][4][AircraftID]",Submission!$O:$O,Submission!$H:$N,""))</f>
        <v/>
      </c>
      <c r="D205" s="542"/>
      <c r="E205" s="543"/>
      <c r="F205" s="541" t="str">
        <f>_xlfn.CONCAT(_xlfn.XLOOKUP("[S10_AircraftPenalties][4][OperatorName]",Submission!$O:$O,Submission!$H:$N,""))</f>
        <v/>
      </c>
      <c r="G205" s="542"/>
      <c r="H205" s="542"/>
      <c r="I205" s="543"/>
    </row>
    <row r="206" spans="1:10" ht="15.9" hidden="1" customHeight="1" outlineLevel="1" x14ac:dyDescent="0.3">
      <c r="A206" s="12"/>
      <c r="B206" s="23"/>
      <c r="C206" s="541" t="str">
        <f>_xlfn.CONCAT(_xlfn.XLOOKUP("[S10_AircraftPenalties][5][AircraftID]",Submission!$O:$O,Submission!$H:$N,""))</f>
        <v/>
      </c>
      <c r="D206" s="542"/>
      <c r="E206" s="543"/>
      <c r="F206" s="541" t="str">
        <f>_xlfn.CONCAT(_xlfn.XLOOKUP("[S10_AircraftPenalties][5][OperatorName]",Submission!$O:$O,Submission!$H:$N,""))</f>
        <v/>
      </c>
      <c r="G206" s="542"/>
      <c r="H206" s="542"/>
      <c r="I206" s="543"/>
    </row>
    <row r="207" spans="1:10" ht="15.9" hidden="1" customHeight="1" outlineLevel="1" x14ac:dyDescent="0.3">
      <c r="A207" s="12"/>
      <c r="B207" s="23"/>
      <c r="C207" s="541" t="str">
        <f>_xlfn.CONCAT(_xlfn.XLOOKUP("[S10_AircraftPenalties][6][AircraftID]",Submission!$O:$O,Submission!$H:$N,""))</f>
        <v/>
      </c>
      <c r="D207" s="542"/>
      <c r="E207" s="543"/>
      <c r="F207" s="541" t="str">
        <f>_xlfn.CONCAT(_xlfn.XLOOKUP("[S10_AircraftPenalties][6][OperatorName]",Submission!$O:$O,Submission!$H:$N,""))</f>
        <v/>
      </c>
      <c r="G207" s="542"/>
      <c r="H207" s="542"/>
      <c r="I207" s="543"/>
    </row>
    <row r="208" spans="1:10" ht="15.9" hidden="1" customHeight="1" outlineLevel="1" x14ac:dyDescent="0.3">
      <c r="A208" s="12"/>
      <c r="B208" s="23"/>
      <c r="C208" s="541" t="str">
        <f>_xlfn.CONCAT(_xlfn.XLOOKUP("[S10_AircraftPenalties][7][AircraftID]",Submission!$O:$O,Submission!$H:$N,""))</f>
        <v/>
      </c>
      <c r="D208" s="542"/>
      <c r="E208" s="543"/>
      <c r="F208" s="541" t="str">
        <f>_xlfn.CONCAT(_xlfn.XLOOKUP("[S10_AircraftPenalties][7][OperatorName]",Submission!$O:$O,Submission!$H:$N,""))</f>
        <v/>
      </c>
      <c r="G208" s="542"/>
      <c r="H208" s="542"/>
      <c r="I208" s="543"/>
    </row>
    <row r="209" spans="1:9" ht="15.9" hidden="1" customHeight="1" outlineLevel="1" x14ac:dyDescent="0.3">
      <c r="A209" s="12"/>
      <c r="B209" s="23"/>
      <c r="C209" s="541" t="str">
        <f>_xlfn.CONCAT(_xlfn.XLOOKUP("[S10_AircraftPenalties][8][AircraftID]",Submission!$O:$O,Submission!$H:$N,""))</f>
        <v/>
      </c>
      <c r="D209" s="542"/>
      <c r="E209" s="543"/>
      <c r="F209" s="541" t="str">
        <f>_xlfn.CONCAT(_xlfn.XLOOKUP("[S10_AircraftPenalties][8][OperatorName]",Submission!$O:$O,Submission!$H:$N,""))</f>
        <v/>
      </c>
      <c r="G209" s="542"/>
      <c r="H209" s="542"/>
      <c r="I209" s="543"/>
    </row>
    <row r="210" spans="1:9" ht="15.9" hidden="1" customHeight="1" outlineLevel="1" x14ac:dyDescent="0.3">
      <c r="A210" s="12"/>
      <c r="B210" s="23"/>
      <c r="C210" s="541" t="str">
        <f>_xlfn.CONCAT(_xlfn.XLOOKUP("[S10_AircraftPenalties][9][AircraftID]",Submission!$O:$O,Submission!$H:$N,""))</f>
        <v/>
      </c>
      <c r="D210" s="542"/>
      <c r="E210" s="543"/>
      <c r="F210" s="541" t="str">
        <f>_xlfn.CONCAT(_xlfn.XLOOKUP("[S10_AircraftPenalties][9][OperatorName]",Submission!$O:$O,Submission!$H:$N,""))</f>
        <v/>
      </c>
      <c r="G210" s="542"/>
      <c r="H210" s="542"/>
      <c r="I210" s="543"/>
    </row>
    <row r="211" spans="1:9" ht="15.9" hidden="1" customHeight="1" outlineLevel="1" x14ac:dyDescent="0.3">
      <c r="A211" s="12"/>
      <c r="B211" s="23"/>
      <c r="C211" s="541" t="str">
        <f>_xlfn.CONCAT(_xlfn.XLOOKUP("[S10_AircraftPenalties][10][AircraftID]",Submission!$O:$O,Submission!$H:$N,""))</f>
        <v/>
      </c>
      <c r="D211" s="542"/>
      <c r="E211" s="543"/>
      <c r="F211" s="541" t="str">
        <f>_xlfn.CONCAT(_xlfn.XLOOKUP("[S10_AircraftPenalties][10][OperatorName]",Submission!$O:$O,Submission!$H:$N,""))</f>
        <v/>
      </c>
      <c r="G211" s="542"/>
      <c r="H211" s="542"/>
      <c r="I211" s="543"/>
    </row>
    <row r="212" spans="1:9" ht="15.9" hidden="1" customHeight="1" outlineLevel="1" x14ac:dyDescent="0.3">
      <c r="A212" s="12"/>
      <c r="B212" s="23"/>
      <c r="C212" s="541" t="str">
        <f>_xlfn.CONCAT(_xlfn.XLOOKUP("[S10_AircraftPenalties][11][AircraftID]",Submission!$O:$O,Submission!$H:$N,""))</f>
        <v/>
      </c>
      <c r="D212" s="542"/>
      <c r="E212" s="543"/>
      <c r="F212" s="541" t="str">
        <f>_xlfn.CONCAT(_xlfn.XLOOKUP("[S10_AircraftPenalties][11][OperatorName]",Submission!$O:$O,Submission!$H:$N,""))</f>
        <v/>
      </c>
      <c r="G212" s="542"/>
      <c r="H212" s="542"/>
      <c r="I212" s="543"/>
    </row>
    <row r="213" spans="1:9" ht="15.9" hidden="1" customHeight="1" outlineLevel="1" x14ac:dyDescent="0.3">
      <c r="A213" s="12"/>
      <c r="B213" s="23"/>
      <c r="C213" s="541" t="str">
        <f>_xlfn.CONCAT(_xlfn.XLOOKUP("[S10_AircraftPenalties][12][AircraftID]",Submission!$O:$O,Submission!$H:$N,""))</f>
        <v/>
      </c>
      <c r="D213" s="542"/>
      <c r="E213" s="543"/>
      <c r="F213" s="541" t="str">
        <f>_xlfn.CONCAT(_xlfn.XLOOKUP("[S10_AircraftPenalties][12][OperatorName]",Submission!$O:$O,Submission!$H:$N,""))</f>
        <v/>
      </c>
      <c r="G213" s="542"/>
      <c r="H213" s="542"/>
      <c r="I213" s="543"/>
    </row>
    <row r="214" spans="1:9" ht="15.9" customHeight="1" collapsed="1" x14ac:dyDescent="0.3">
      <c r="A214" s="13"/>
      <c r="B214" s="26" t="s">
        <v>1000</v>
      </c>
      <c r="C214" s="19"/>
    </row>
    <row r="215" spans="1:9" ht="15.9" customHeight="1" x14ac:dyDescent="0.3">
      <c r="A215" s="13"/>
      <c r="B215" s="16"/>
      <c r="C215" s="279" t="s">
        <v>1087</v>
      </c>
      <c r="D215" s="280"/>
      <c r="E215" s="280"/>
      <c r="F215" s="280"/>
      <c r="G215" s="280"/>
      <c r="H215" s="280"/>
      <c r="I215" s="280"/>
    </row>
    <row r="216" spans="1:9" ht="15.9" customHeight="1" x14ac:dyDescent="0.3">
      <c r="A216" s="13"/>
      <c r="B216" s="16"/>
      <c r="C216" s="20"/>
      <c r="D216" s="24"/>
      <c r="E216" s="24"/>
      <c r="F216" s="24"/>
      <c r="G216" s="24"/>
      <c r="H216" s="24"/>
      <c r="I216" s="24"/>
    </row>
    <row r="217" spans="1:9" ht="15.9" customHeight="1" x14ac:dyDescent="0.25">
      <c r="A217" s="12" t="s">
        <v>602</v>
      </c>
      <c r="B217" s="392" t="s">
        <v>1321</v>
      </c>
      <c r="C217" s="393"/>
      <c r="D217" s="393"/>
      <c r="E217" s="393"/>
      <c r="F217" s="393"/>
      <c r="G217" s="393"/>
      <c r="H217" s="393"/>
      <c r="I217" s="393"/>
    </row>
    <row r="218" spans="1:9" ht="32.1" customHeight="1" x14ac:dyDescent="0.3">
      <c r="A218" s="13"/>
      <c r="B218" s="338" t="s">
        <v>1322</v>
      </c>
      <c r="C218" s="308"/>
      <c r="D218" s="308"/>
      <c r="E218" s="308"/>
      <c r="F218" s="308"/>
      <c r="G218" s="308"/>
      <c r="H218" s="308"/>
      <c r="I218" s="308"/>
    </row>
    <row r="219" spans="1:9" ht="31.95" customHeight="1" x14ac:dyDescent="0.3">
      <c r="C219" s="554" t="str">
        <f>_xlfn.CONCAT(_xlfn.XLOOKUP("[OperatingBanRequestMeasures][0][OperatingBanRequestMeasures]",Submission!$O:$O,Submission!$H:$N,""))</f>
        <v>No special measures are in place. A request for an operating ban would follow if sanctions would not lead to compliance.</v>
      </c>
      <c r="D219" s="555"/>
      <c r="E219" s="555"/>
      <c r="F219" s="555"/>
      <c r="G219" s="555"/>
      <c r="H219" s="555"/>
      <c r="I219" s="556"/>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83" t="s">
        <v>1323</v>
      </c>
      <c r="C4" s="284"/>
      <c r="D4" s="284"/>
      <c r="E4" s="284"/>
      <c r="F4" s="284"/>
      <c r="G4" s="284"/>
      <c r="H4" s="284"/>
      <c r="I4" s="284"/>
    </row>
    <row r="5" spans="1:11" ht="15.9" customHeight="1" x14ac:dyDescent="0.3">
      <c r="A5" s="12" t="s">
        <v>608</v>
      </c>
      <c r="B5" s="338" t="s">
        <v>1324</v>
      </c>
      <c r="C5" s="308"/>
      <c r="D5" s="308"/>
      <c r="E5" s="308"/>
      <c r="F5" s="308"/>
      <c r="G5" s="308"/>
      <c r="H5" s="308"/>
      <c r="I5" s="308"/>
    </row>
    <row r="6" spans="1:11" ht="48" customHeight="1" x14ac:dyDescent="0.3">
      <c r="C6" s="258" t="str">
        <f>_xlfn.CONCAT(_xlfn.XLOOKUP("[LegalNatureOfEmissionAllowance][0][LegalNatureOfEmissionAllowance]",Submission!$O:$O,Submission!$H:$N,""))</f>
        <v>Allowance is defined as an "other asset value corresponding to installation operator's or aircraft operator's entitlement to
discharge the equivalent of a tonne of CO2 into the atmosphere" (Act No. 383/2012 Coll., on Conditions for Emission
Allowances Trading)</v>
      </c>
      <c r="D6" s="369"/>
      <c r="E6" s="369"/>
      <c r="F6" s="369"/>
      <c r="G6" s="369"/>
      <c r="H6" s="369"/>
      <c r="I6" s="259"/>
    </row>
    <row r="7" spans="1:11" ht="22.2" customHeight="1" x14ac:dyDescent="0.3">
      <c r="D7" s="11"/>
    </row>
    <row r="8" spans="1:11" ht="15.9" customHeight="1" x14ac:dyDescent="0.3">
      <c r="A8" s="12" t="s">
        <v>613</v>
      </c>
      <c r="B8" s="338" t="s">
        <v>1325</v>
      </c>
      <c r="C8" s="308"/>
      <c r="D8" s="308"/>
      <c r="E8" s="308"/>
      <c r="F8" s="308"/>
      <c r="G8" s="308"/>
      <c r="H8" s="308"/>
      <c r="I8" s="308"/>
    </row>
    <row r="9" spans="1:11" ht="48" customHeight="1" x14ac:dyDescent="0.3">
      <c r="C9" s="258" t="str">
        <f>_xlfn.CONCAT(_xlfn.XLOOKUP("[AccountingTreatmentOfEmissionAllowances][0][AccountingTreatmentOfEmissionAllowances]",Submission!$O:$O,Submission!$H:$N,""))</f>
        <v>Intangible assets (B.I.6 Other long run intangible assets)</v>
      </c>
      <c r="D9" s="353"/>
      <c r="E9" s="353"/>
      <c r="F9" s="353"/>
      <c r="G9" s="353"/>
      <c r="H9" s="353"/>
      <c r="I9" s="260"/>
    </row>
    <row r="10" spans="1:11" ht="24.6" customHeight="1" x14ac:dyDescent="0.3">
      <c r="D10" s="11"/>
    </row>
    <row r="11" spans="1:11" ht="18" customHeight="1" x14ac:dyDescent="0.3">
      <c r="A11" s="12" t="s">
        <v>616</v>
      </c>
      <c r="B11" s="338" t="s">
        <v>1326</v>
      </c>
      <c r="C11" s="308"/>
      <c r="D11" s="308"/>
      <c r="E11" s="308"/>
      <c r="F11" s="308"/>
      <c r="G11" s="308"/>
      <c r="H11" s="34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338" t="s">
        <v>1327</v>
      </c>
      <c r="C13" s="308"/>
      <c r="D13" s="308"/>
      <c r="E13" s="308"/>
      <c r="F13" s="308"/>
      <c r="G13" s="308"/>
      <c r="H13" s="34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338" t="s">
        <v>1328</v>
      </c>
      <c r="C15" s="308"/>
      <c r="D15" s="308"/>
      <c r="E15" s="308"/>
      <c r="F15" s="308"/>
      <c r="G15" s="308"/>
      <c r="H15" s="345"/>
      <c r="I15" s="41" t="str">
        <f>_xlfn.CONCAT(_xlfn.XLOOKUP("[EmissionAllowancesTaxed][0][EmissionAllowancesTaxed]",Submission!$O:$O,Submission!$H:$N,""))</f>
        <v>Yes</v>
      </c>
    </row>
    <row r="16" spans="1:11" ht="18" customHeight="1" x14ac:dyDescent="0.3">
      <c r="A16" s="13"/>
      <c r="B16" s="338" t="s">
        <v>1329</v>
      </c>
      <c r="C16" s="308"/>
      <c r="D16" s="308"/>
      <c r="E16" s="308"/>
      <c r="F16" s="308"/>
      <c r="G16" s="308"/>
      <c r="H16" s="308"/>
      <c r="I16" s="308"/>
    </row>
    <row r="17" spans="2:9" ht="15.9" customHeight="1" x14ac:dyDescent="0.3">
      <c r="C17" s="317" t="s">
        <v>1330</v>
      </c>
      <c r="D17" s="370"/>
      <c r="E17" s="370"/>
      <c r="F17" s="318"/>
      <c r="G17" s="317" t="s">
        <v>1331</v>
      </c>
      <c r="H17" s="370"/>
      <c r="I17" s="318"/>
    </row>
    <row r="18" spans="2:9" ht="15.9" customHeight="1" x14ac:dyDescent="0.3">
      <c r="C18" s="258" t="str">
        <f>_xlfn.CONCAT(_xlfn.XLOOKUP("[S11_TypeOfTaxRatesApplied][1][TypeOfTax]",Submission!$O:$O,Submission!$H:$N,""))</f>
        <v>VAT</v>
      </c>
      <c r="D18" s="353"/>
      <c r="E18" s="353"/>
      <c r="F18" s="260"/>
      <c r="G18" s="258" t="str">
        <f>_xlfn.CONCAT(_xlfn.XLOOKUP("[S11_TypeOfTaxRatesApplied][1][TaxRateApplied]",Submission!$O:$O,Submission!$H:$N,""))</f>
        <v>21</v>
      </c>
      <c r="H18" s="353"/>
      <c r="I18" s="260"/>
    </row>
    <row r="19" spans="2:9" ht="15.9" customHeight="1" x14ac:dyDescent="0.3">
      <c r="C19" s="258" t="str">
        <f>_xlfn.CONCAT(_xlfn.XLOOKUP("[S11_TypeOfTaxRatesApplied][2][TypeOfTax]",Submission!$O:$O,Submission!$H:$N,""))</f>
        <v/>
      </c>
      <c r="D19" s="353"/>
      <c r="E19" s="353"/>
      <c r="F19" s="260"/>
      <c r="G19" s="258" t="str">
        <f>_xlfn.CONCAT(_xlfn.XLOOKUP("[S11_TypeOfTaxRatesApplied][2][TaxRateApplied]",Submission!$O:$O,Submission!$H:$N,""))</f>
        <v/>
      </c>
      <c r="H19" s="353"/>
      <c r="I19" s="260"/>
    </row>
    <row r="20" spans="2:9" ht="15.9" hidden="1" customHeight="1" outlineLevel="1" x14ac:dyDescent="0.3">
      <c r="C20" s="258" t="str">
        <f>_xlfn.CONCAT(_xlfn.XLOOKUP("[S11_TypeOfTaxRatesApplied][3][TypeOfTax]",Submission!$O:$O,Submission!$H:$N,""))</f>
        <v/>
      </c>
      <c r="D20" s="353"/>
      <c r="E20" s="353"/>
      <c r="F20" s="260"/>
      <c r="G20" s="258" t="str">
        <f>_xlfn.CONCAT(_xlfn.XLOOKUP("[S11_TypeOfTaxRatesApplied][3][TaxRateApplied]",Submission!$O:$O,Submission!$H:$N,""))</f>
        <v/>
      </c>
      <c r="H20" s="353"/>
      <c r="I20" s="260"/>
    </row>
    <row r="21" spans="2:9" ht="15.9" hidden="1" customHeight="1" outlineLevel="1" x14ac:dyDescent="0.3">
      <c r="C21" s="258" t="str">
        <f>_xlfn.CONCAT(_xlfn.XLOOKUP("[S11_TypeOfTaxRatesApplied][4][TypeOfTax]",Submission!$O:$O,Submission!$H:$N,""))</f>
        <v/>
      </c>
      <c r="D21" s="353"/>
      <c r="E21" s="353"/>
      <c r="F21" s="260"/>
      <c r="G21" s="258" t="str">
        <f>_xlfn.CONCAT(_xlfn.XLOOKUP("[S11_TypeOfTaxRatesApplied][4][TaxRateApplied]",Submission!$O:$O,Submission!$H:$N,""))</f>
        <v/>
      </c>
      <c r="H21" s="353"/>
      <c r="I21" s="260"/>
    </row>
    <row r="22" spans="2:9" ht="15.9" hidden="1" customHeight="1" outlineLevel="1" x14ac:dyDescent="0.3">
      <c r="C22" s="258" t="str">
        <f>_xlfn.CONCAT(_xlfn.XLOOKUP("[S11_TypeOfTaxRatesApplied][5][TypeOfTax]",Submission!$O:$O,Submission!$H:$N,""))</f>
        <v/>
      </c>
      <c r="D22" s="353"/>
      <c r="E22" s="353"/>
      <c r="F22" s="260"/>
      <c r="G22" s="258" t="str">
        <f>_xlfn.CONCAT(_xlfn.XLOOKUP("[S11_TypeOfTaxRatesApplied][5][TaxRateApplied]",Submission!$O:$O,Submission!$H:$N,""))</f>
        <v/>
      </c>
      <c r="H22" s="353"/>
      <c r="I22" s="260"/>
    </row>
    <row r="23" spans="2:9" ht="15.9" hidden="1" customHeight="1" outlineLevel="1" x14ac:dyDescent="0.3">
      <c r="C23" s="258" t="str">
        <f>_xlfn.CONCAT(_xlfn.XLOOKUP("[S11_TypeOfTaxRatesApplied][6][TypeOfTax]",Submission!$O:$O,Submission!$H:$N,""))</f>
        <v/>
      </c>
      <c r="D23" s="353"/>
      <c r="E23" s="353"/>
      <c r="F23" s="260"/>
      <c r="G23" s="258" t="str">
        <f>_xlfn.CONCAT(_xlfn.XLOOKUP("[S11_TypeOfTaxRatesApplied][6][TaxRateApplied]",Submission!$O:$O,Submission!$H:$N,""))</f>
        <v/>
      </c>
      <c r="H23" s="353"/>
      <c r="I23" s="260"/>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09" t="s">
        <v>624</v>
      </c>
      <c r="C3" s="309"/>
      <c r="D3" s="309"/>
      <c r="E3" s="309"/>
      <c r="F3" s="309"/>
      <c r="G3" s="309"/>
      <c r="H3" s="309"/>
      <c r="I3" s="309"/>
    </row>
    <row r="4" spans="1:9" ht="15.9" customHeight="1" x14ac:dyDescent="0.3">
      <c r="A4" s="12" t="s">
        <v>625</v>
      </c>
      <c r="B4" s="283" t="s">
        <v>1332</v>
      </c>
      <c r="C4" s="284"/>
      <c r="D4" s="284"/>
      <c r="E4" s="284"/>
      <c r="F4" s="284"/>
      <c r="G4" s="284"/>
      <c r="H4" s="284"/>
      <c r="I4" s="284"/>
    </row>
    <row r="5" spans="1:9" ht="18.600000000000001" customHeight="1" x14ac:dyDescent="0.3">
      <c r="B5" s="338" t="s">
        <v>1333</v>
      </c>
      <c r="C5" s="308"/>
      <c r="D5" s="308"/>
      <c r="E5" s="308"/>
      <c r="F5" s="308"/>
      <c r="G5" s="308"/>
      <c r="H5" s="308"/>
      <c r="I5" s="308"/>
    </row>
    <row r="6" spans="1:9" ht="15.9" customHeight="1" x14ac:dyDescent="0.3">
      <c r="C6" s="314" t="s">
        <v>1334</v>
      </c>
      <c r="D6" s="315"/>
      <c r="E6" s="315"/>
      <c r="F6" s="316"/>
      <c r="G6" s="314" t="s">
        <v>1335</v>
      </c>
      <c r="H6" s="315"/>
      <c r="I6" s="316"/>
    </row>
    <row r="7" spans="1:9" ht="45" customHeight="1" x14ac:dyDescent="0.3">
      <c r="C7" s="249" t="s">
        <v>1336</v>
      </c>
      <c r="D7" s="257"/>
      <c r="E7" s="257"/>
      <c r="F7" s="250"/>
      <c r="G7" s="258" t="str">
        <f>_xlfn.CONCAT(_xlfn.XLOOKUP("[S12_FraudFreeAllocationOfAllowances][1][DetailsOfProceduresInNationalLaw]",Submission!$O:$O,Submission!$H:$N,""))</f>
        <v>No special arrangements</v>
      </c>
      <c r="H7" s="353"/>
      <c r="I7" s="260"/>
    </row>
    <row r="8" spans="1:9" ht="45" customHeight="1" x14ac:dyDescent="0.3">
      <c r="C8" s="249" t="s">
        <v>1337</v>
      </c>
      <c r="D8" s="257"/>
      <c r="E8" s="257"/>
      <c r="F8" s="250"/>
      <c r="G8" s="258" t="str">
        <f>_xlfn.CONCAT(_xlfn.XLOOKUP("[S12_FraudFreeAllocationOfAllowances][2][DetailsOfProceduresInNationalLaw]",Submission!$O:$O,Submission!$H:$N,""))</f>
        <v>Yes</v>
      </c>
      <c r="H8" s="353"/>
      <c r="I8" s="260"/>
    </row>
    <row r="9" spans="1:9" ht="45" customHeight="1" x14ac:dyDescent="0.3">
      <c r="C9" s="249" t="s">
        <v>1338</v>
      </c>
      <c r="D9" s="257"/>
      <c r="E9" s="257"/>
      <c r="F9" s="250"/>
      <c r="G9" s="258" t="str">
        <f>_xlfn.CONCAT(_xlfn.XLOOKUP("[S12_FraudFreeAllocationOfAllowances][3][DetailsOfProceduresInNationalLaw]",Submission!$O:$O,Submission!$H:$N,""))</f>
        <v>CIZP performs checks in installations</v>
      </c>
      <c r="H9" s="353"/>
      <c r="I9" s="260"/>
    </row>
    <row r="10" spans="1:9" ht="45" customHeight="1" x14ac:dyDescent="0.3">
      <c r="C10" s="249" t="s">
        <v>1339</v>
      </c>
      <c r="D10" s="257"/>
      <c r="E10" s="257"/>
      <c r="F10" s="250"/>
      <c r="G10" s="258" t="str">
        <f>_xlfn.CONCAT(_xlfn.XLOOKUP("[S12_FraudFreeAllocationOfAllowances][4][DetailsOfProceduresInNationalLaw]",Submission!$O:$O,Submission!$H:$N,""))</f>
        <v>Yes</v>
      </c>
      <c r="H10" s="353"/>
      <c r="I10" s="260"/>
    </row>
    <row r="11" spans="1:9" ht="45" customHeight="1" x14ac:dyDescent="0.3">
      <c r="C11" s="249" t="s">
        <v>1340</v>
      </c>
      <c r="D11" s="257"/>
      <c r="E11" s="257"/>
      <c r="F11" s="250"/>
      <c r="G11" s="258" t="str">
        <f>_xlfn.CONCAT(_xlfn.XLOOKUP("[S12_FraudFreeAllocationOfAllowances][5][DetailsOfProceduresInNationalLaw]",Submission!$O:$O,Submission!$H:$N,""))</f>
        <v>Yes</v>
      </c>
      <c r="H11" s="353"/>
      <c r="I11" s="260"/>
    </row>
    <row r="12" spans="1:9" ht="45" customHeight="1" x14ac:dyDescent="0.3">
      <c r="C12" s="249" t="s">
        <v>1341</v>
      </c>
      <c r="D12" s="257"/>
      <c r="E12" s="257"/>
      <c r="F12" s="250"/>
      <c r="G12" s="258" t="str">
        <f>_xlfn.CONCAT(_xlfn.XLOOKUP("[S12_FraudFreeAllocationOfAllowances][6][DetailsOfProceduresInNationalLaw]",Submission!$O:$O,Submission!$H:$N,""))</f>
        <v>Sanction depend on legal classification of a committed
fraud and scope of caused harm, therefore there is no
simple answer to such question</v>
      </c>
      <c r="H12" s="353"/>
      <c r="I12" s="260"/>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338" t="s">
        <v>1343</v>
      </c>
      <c r="C15" s="308"/>
      <c r="D15" s="308"/>
      <c r="E15" s="308"/>
      <c r="F15" s="308"/>
      <c r="G15" s="308"/>
      <c r="H15" s="308"/>
      <c r="I15" s="308"/>
    </row>
    <row r="16" spans="1:9" ht="15.9" customHeight="1" x14ac:dyDescent="0.3">
      <c r="C16" s="314" t="s">
        <v>1344</v>
      </c>
      <c r="D16" s="315"/>
      <c r="E16" s="315"/>
      <c r="F16" s="316"/>
      <c r="G16" s="314" t="s">
        <v>1345</v>
      </c>
      <c r="H16" s="315"/>
      <c r="I16" s="316"/>
    </row>
    <row r="17" spans="1:9" ht="42.6" customHeight="1" x14ac:dyDescent="0.3">
      <c r="C17" s="249" t="s">
        <v>1346</v>
      </c>
      <c r="D17" s="257"/>
      <c r="E17" s="257"/>
      <c r="F17" s="250"/>
      <c r="G17" s="258" t="str">
        <f>_xlfn.CONCAT(_xlfn.XLOOKUP("[S12_CompetentAuthoritiesAwareOfFraud][1][DetailsOfArrangementsAndProcedures]",Submission!$O:$O,Submission!$H:$N,""))</f>
        <v>Yes. CIZP informs MoE about the findings ans/or sanctions. CIZP may also inform MoE about the proceedings of ongoind investigations.</v>
      </c>
      <c r="H17" s="353"/>
      <c r="I17" s="260"/>
    </row>
    <row r="18" spans="1:9" ht="40.200000000000003" customHeight="1" x14ac:dyDescent="0.3">
      <c r="C18" s="249" t="s">
        <v>1347</v>
      </c>
      <c r="D18" s="257"/>
      <c r="E18" s="257"/>
      <c r="F18" s="250"/>
      <c r="G18" s="258" t="str">
        <f>_xlfn.CONCAT(_xlfn.XLOOKUP("[S12_CompetentAuthoritiesAwareOfFraud][2][DetailsOfArrangementsAndProcedures]",Submission!$O:$O,Submission!$H:$N,""))</f>
        <v>MoE is informed if relevant. Based on the nature of cases brought to court, MoE is usually one of the subjects concerned.</v>
      </c>
      <c r="H18" s="353"/>
      <c r="I18" s="260"/>
    </row>
    <row r="19" spans="1:9" ht="40.200000000000003" customHeight="1" x14ac:dyDescent="0.3">
      <c r="C19" s="249" t="s">
        <v>1348</v>
      </c>
      <c r="D19" s="257"/>
      <c r="E19" s="257"/>
      <c r="F19" s="250"/>
      <c r="G19" s="258" t="str">
        <f>_xlfn.CONCAT(_xlfn.XLOOKUP("[S12_CompetentAuthoritiesAwareOfFraud][3][DetailsOfArrangementsAndProcedures]",Submission!$O:$O,Submission!$H:$N,""))</f>
        <v>MoE is informed if relevant. Based on the nature of cases brought to court, MoE is usually one of the subjects concerned.</v>
      </c>
      <c r="H19" s="353"/>
      <c r="I19" s="260"/>
    </row>
    <row r="20" spans="1:9" ht="40.200000000000003" customHeight="1" x14ac:dyDescent="0.3">
      <c r="C20" s="249" t="s">
        <v>1349</v>
      </c>
      <c r="D20" s="257"/>
      <c r="E20" s="257"/>
      <c r="F20" s="250"/>
      <c r="G20" s="258" t="str">
        <f>_xlfn.CONCAT(_xlfn.XLOOKUP("[S12_CompetentAuthoritiesAwareOfFraud][4][DetailsOfArrangementsAndProcedures]",Submission!$O:$O,Submission!$H:$N,""))</f>
        <v>MoE is informed if relevant. Based on the nature of cases brought to court, MoE is usually one of the subjects concerned.</v>
      </c>
      <c r="H20" s="353"/>
      <c r="I20" s="260"/>
    </row>
    <row r="21" spans="1:9" ht="15.9" customHeight="1" x14ac:dyDescent="0.3">
      <c r="D21" s="11"/>
    </row>
    <row r="22" spans="1:9" ht="32.1" customHeight="1" x14ac:dyDescent="0.3">
      <c r="A22" s="12" t="s">
        <v>637</v>
      </c>
      <c r="B22" s="338" t="s">
        <v>1350</v>
      </c>
      <c r="C22" s="308"/>
      <c r="D22" s="308"/>
      <c r="E22" s="308"/>
      <c r="F22" s="308"/>
      <c r="G22" s="308"/>
      <c r="H22" s="308"/>
      <c r="I22" s="308"/>
    </row>
    <row r="23" spans="1:9" ht="17.399999999999999" customHeight="1" x14ac:dyDescent="0.3">
      <c r="B23" s="15" t="s">
        <v>8</v>
      </c>
      <c r="C23" s="411" t="s">
        <v>1351</v>
      </c>
      <c r="D23" s="276"/>
      <c r="E23" s="276"/>
      <c r="F23" s="276"/>
      <c r="G23" s="276"/>
      <c r="H23" s="276"/>
      <c r="I23" s="276"/>
    </row>
    <row r="24" spans="1:9" ht="17.399999999999999" customHeight="1" x14ac:dyDescent="0.3">
      <c r="B24" s="15" t="s">
        <v>8</v>
      </c>
      <c r="C24" s="411" t="s">
        <v>1352</v>
      </c>
      <c r="D24" s="276"/>
      <c r="E24" s="276"/>
      <c r="F24" s="276"/>
      <c r="G24" s="276"/>
      <c r="H24" s="276"/>
      <c r="I24" s="276"/>
    </row>
    <row r="25" spans="1:9" ht="17.399999999999999" customHeight="1" x14ac:dyDescent="0.3">
      <c r="B25" s="15" t="s">
        <v>8</v>
      </c>
      <c r="C25" s="411" t="s">
        <v>1353</v>
      </c>
      <c r="D25" s="276"/>
      <c r="E25" s="276"/>
      <c r="F25" s="276"/>
      <c r="G25" s="276"/>
      <c r="H25" s="276"/>
      <c r="I25" s="276"/>
    </row>
    <row r="26" spans="1:9" ht="17.399999999999999" customHeight="1" x14ac:dyDescent="0.3">
      <c r="B26" s="15" t="s">
        <v>8</v>
      </c>
      <c r="C26" s="412" t="s">
        <v>1354</v>
      </c>
      <c r="D26" s="560"/>
      <c r="E26" s="560"/>
      <c r="F26" s="560"/>
      <c r="G26" s="560"/>
      <c r="H26" s="560"/>
      <c r="I26" s="560"/>
    </row>
    <row r="27" spans="1:9" ht="15.9" customHeight="1" x14ac:dyDescent="0.3">
      <c r="C27" s="317" t="s">
        <v>1355</v>
      </c>
      <c r="D27" s="370"/>
      <c r="E27" s="370"/>
      <c r="F27" s="370"/>
      <c r="G27" s="318"/>
      <c r="H27" s="317" t="s">
        <v>726</v>
      </c>
      <c r="I27" s="318"/>
    </row>
    <row r="28" spans="1:9" ht="20.399999999999999" customHeight="1" x14ac:dyDescent="0.3">
      <c r="C28" s="249" t="s">
        <v>1356</v>
      </c>
      <c r="D28" s="257"/>
      <c r="E28" s="257"/>
      <c r="F28" s="257"/>
      <c r="G28" s="250"/>
      <c r="H28" s="351" t="str">
        <f>_xlfn.CONCAT(_xlfn.XLOOKUP("[S12_InformationOnFraudActivities][1][NumberOfActivities]",Submission!$O:$O,Submission!$H:$N,""))</f>
        <v>0</v>
      </c>
      <c r="I28" s="352"/>
    </row>
    <row r="29" spans="1:9" ht="20.399999999999999" customHeight="1" x14ac:dyDescent="0.3">
      <c r="C29" s="249" t="s">
        <v>1357</v>
      </c>
      <c r="D29" s="257"/>
      <c r="E29" s="257"/>
      <c r="F29" s="257"/>
      <c r="G29" s="250"/>
      <c r="H29" s="351" t="str">
        <f>_xlfn.CONCAT(_xlfn.XLOOKUP("[S12_InformationOnFraudActivities][2][NumberOfActivities]",Submission!$O:$O,Submission!$H:$N,""))</f>
        <v>0</v>
      </c>
      <c r="I29" s="352"/>
    </row>
    <row r="30" spans="1:9" ht="20.399999999999999" customHeight="1" x14ac:dyDescent="0.3">
      <c r="C30" s="249" t="s">
        <v>1358</v>
      </c>
      <c r="D30" s="257"/>
      <c r="E30" s="257"/>
      <c r="F30" s="257"/>
      <c r="G30" s="250"/>
      <c r="H30" s="351" t="str">
        <f>_xlfn.CONCAT(_xlfn.XLOOKUP("[S12_InformationOnFraudActivities][3][NumberOfActivities]",Submission!$O:$O,Submission!$H:$N,""))</f>
        <v>0</v>
      </c>
      <c r="I30" s="352"/>
    </row>
    <row r="31" spans="1:9" ht="20.399999999999999" customHeight="1" x14ac:dyDescent="0.3">
      <c r="C31" s="249" t="s">
        <v>1359</v>
      </c>
      <c r="D31" s="257"/>
      <c r="E31" s="257"/>
      <c r="F31" s="257"/>
      <c r="G31" s="250"/>
      <c r="H31" s="351" t="str">
        <f>_xlfn.CONCAT(_xlfn.XLOOKUP("[S12_InformationOnFraudActivities][4][NumberOfActivities]",Submission!$O:$O,Submission!$H:$N,""))</f>
        <v>0</v>
      </c>
      <c r="I31" s="352"/>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09" t="s">
        <v>641</v>
      </c>
      <c r="C3" s="309"/>
      <c r="D3" s="309"/>
      <c r="E3" s="309"/>
      <c r="F3" s="309"/>
      <c r="G3" s="309"/>
      <c r="H3" s="309"/>
      <c r="I3" s="309"/>
    </row>
    <row r="4" spans="1:9" ht="24.6" customHeight="1" x14ac:dyDescent="0.3">
      <c r="A4" s="12" t="s">
        <v>642</v>
      </c>
      <c r="B4" s="563" t="s">
        <v>1360</v>
      </c>
      <c r="C4" s="564"/>
      <c r="D4" s="564"/>
      <c r="E4" s="564"/>
      <c r="F4" s="564"/>
      <c r="G4" s="564"/>
      <c r="H4" s="564"/>
      <c r="I4" s="564"/>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3" t="str">
        <f>_xlfn.CONCAT(_xlfn.XLOOKUP("[S13_AnyOtherIssues][1][OtherInformationOrIssues]",Submission!$O:$O,Submission!$H:$N,""))</f>
        <v/>
      </c>
      <c r="F7" s="353"/>
      <c r="G7" s="353"/>
      <c r="H7" s="353"/>
      <c r="I7" s="260"/>
    </row>
    <row r="8" spans="1:9" ht="27" customHeight="1" x14ac:dyDescent="0.3">
      <c r="C8" s="96" t="s">
        <v>1365</v>
      </c>
      <c r="D8" s="160"/>
      <c r="E8" s="353" t="str">
        <f>_xlfn.CONCAT(_xlfn.XLOOKUP("[S13_AnyOtherIssues][2][OtherInformationOrIssues]",Submission!$O:$O,Submission!$H:$N,""))</f>
        <v/>
      </c>
      <c r="F8" s="353"/>
      <c r="G8" s="353"/>
      <c r="H8" s="353"/>
      <c r="I8" s="260"/>
    </row>
    <row r="9" spans="1:9" ht="27" customHeight="1" x14ac:dyDescent="0.3">
      <c r="C9" s="565" t="s">
        <v>1366</v>
      </c>
      <c r="D9" s="161" t="str">
        <f>_xlfn.CONCAT(_xlfn.XLOOKUP("[S13_AnyOtherIssues][3][QuestionnaireSubQuestion]",Submission!$O:$O,Submission!$H:$N,""))</f>
        <v/>
      </c>
      <c r="E9" s="353" t="str">
        <f>_xlfn.CONCAT(_xlfn.XLOOKUP("[S13_AnyOtherIssues][3][OtherInformationOrIssues]",Submission!$O:$O,Submission!$H:$N,""))</f>
        <v/>
      </c>
      <c r="F9" s="353"/>
      <c r="G9" s="353"/>
      <c r="H9" s="353"/>
      <c r="I9" s="260"/>
    </row>
    <row r="10" spans="1:9" ht="27" customHeight="1" x14ac:dyDescent="0.3">
      <c r="C10" s="566"/>
      <c r="D10" s="161" t="str">
        <f>_xlfn.CONCAT(_xlfn.XLOOKUP("[S13_AnyOtherIssues][4][QuestionnaireSubQuestion]",Submission!$O:$O,Submission!$H:$N,""))</f>
        <v/>
      </c>
      <c r="E10" s="353" t="str">
        <f>_xlfn.CONCAT(_xlfn.XLOOKUP("[S13_AnyOtherIssues][4][OtherInformationOrIssues]",Submission!$O:$O,Submission!$H:$N,""))</f>
        <v/>
      </c>
      <c r="F10" s="353"/>
      <c r="G10" s="353"/>
      <c r="H10" s="353"/>
      <c r="I10" s="260"/>
    </row>
    <row r="11" spans="1:9" ht="27" hidden="1" customHeight="1" outlineLevel="1" x14ac:dyDescent="0.3">
      <c r="C11" s="566"/>
      <c r="D11" s="161" t="str">
        <f>_xlfn.CONCAT(_xlfn.XLOOKUP("[S13_AnyOtherIssues][5][QuestionnaireSubQuestion]",Submission!$O:$O,Submission!$H:$N,""))</f>
        <v/>
      </c>
      <c r="E11" s="353" t="str">
        <f>_xlfn.CONCAT(_xlfn.XLOOKUP("[S13_AnyOtherIssues][5][OtherInformationOrIssues]",Submission!$O:$O,Submission!$H:$N,""))</f>
        <v/>
      </c>
      <c r="F11" s="353"/>
      <c r="G11" s="353"/>
      <c r="H11" s="353"/>
      <c r="I11" s="260"/>
    </row>
    <row r="12" spans="1:9" ht="27" hidden="1" customHeight="1" outlineLevel="1" x14ac:dyDescent="0.3">
      <c r="C12" s="567"/>
      <c r="D12" s="161" t="str">
        <f>_xlfn.CONCAT(_xlfn.XLOOKUP("[S13_AnyOtherIssues][6][QuestionnaireSubQuestion]",Submission!$O:$O,Submission!$H:$N,""))</f>
        <v/>
      </c>
      <c r="E12" s="353" t="str">
        <f>_xlfn.CONCAT(_xlfn.XLOOKUP("[S13_AnyOtherIssues][6][OtherInformationOrIssues]",Submission!$O:$O,Submission!$H:$N,""))</f>
        <v/>
      </c>
      <c r="F12" s="353"/>
      <c r="G12" s="353"/>
      <c r="H12" s="353"/>
      <c r="I12" s="260"/>
    </row>
    <row r="13" spans="1:9" ht="27" customHeight="1" collapsed="1" x14ac:dyDescent="0.3">
      <c r="C13" s="565" t="s">
        <v>1367</v>
      </c>
      <c r="D13" s="161" t="str">
        <f>_xlfn.CONCAT(_xlfn.XLOOKUP("[S13_AnyOtherIssues][7][QuestionnaireSubQuestion]",Submission!$O:$O,Submission!$H:$N,""))</f>
        <v>Question 3.1</v>
      </c>
      <c r="E13" s="353" t="str">
        <f>_xlfn.CONCAT(_xlfn.XLOOKUP("[S13_AnyOtherIssues][7][OtherInformationOrIssues]",Submission!$O:$O,Submission!$H:$N,""))</f>
        <v>* Category B: 8 installations classified as category B were below 50 000 t in 2021.</v>
      </c>
      <c r="F13" s="353"/>
      <c r="G13" s="353"/>
      <c r="H13" s="353"/>
      <c r="I13" s="260"/>
    </row>
    <row r="14" spans="1:9" ht="27" customHeight="1" x14ac:dyDescent="0.3">
      <c r="C14" s="566"/>
      <c r="D14" s="161" t="str">
        <f>_xlfn.CONCAT(_xlfn.XLOOKUP("[S13_AnyOtherIssues][8][QuestionnaireSubQuestion]",Submission!$O:$O,Submission!$H:$N,""))</f>
        <v>Question 3.1</v>
      </c>
      <c r="E14" s="353" t="str">
        <f>_xlfn.CONCAT(_xlfn.XLOOKUP("[S13_AnyOtherIssues][8][OtherInformationOrIssues]",Submission!$O:$O,Submission!$H:$N,""))</f>
        <v xml:space="preserve">Installations with low emissions: * Based on 2021 emissions - the category approved in the monitoring plan may differ. ** Including 13 installations that were (temporarily) excluded from the EU ETS pursuant to Art 27a of the Directive 87/2003/EC. </v>
      </c>
      <c r="F14" s="353"/>
      <c r="G14" s="353"/>
      <c r="H14" s="353"/>
      <c r="I14" s="260"/>
    </row>
    <row r="15" spans="1:9" ht="27" hidden="1" customHeight="1" outlineLevel="1" x14ac:dyDescent="0.3">
      <c r="C15" s="567"/>
      <c r="D15" s="161" t="str">
        <f>_xlfn.CONCAT(_xlfn.XLOOKUP("[S13_AnyOtherIssues][9][QuestionnaireSubQuestion]",Submission!$O:$O,Submission!$H:$N,""))</f>
        <v/>
      </c>
      <c r="E15" s="353" t="str">
        <f>_xlfn.CONCAT(_xlfn.XLOOKUP("[S13_AnyOtherIssues][9][OtherInformationOrIssues]",Submission!$O:$O,Submission!$H:$N,""))</f>
        <v/>
      </c>
      <c r="F15" s="353"/>
      <c r="G15" s="353"/>
      <c r="H15" s="353"/>
      <c r="I15" s="260"/>
    </row>
    <row r="16" spans="1:9" ht="27" customHeight="1" collapsed="1" x14ac:dyDescent="0.3">
      <c r="C16" s="565" t="s">
        <v>1368</v>
      </c>
      <c r="D16" s="161" t="str">
        <f>_xlfn.CONCAT(_xlfn.XLOOKUP("[S13_AnyOtherIssues][10][QuestionnaireSubQuestion]",Submission!$O:$O,Submission!$H:$N,""))</f>
        <v>Question 4.2</v>
      </c>
      <c r="E16" s="353" t="str">
        <f>_xlfn.CONCAT(_xlfn.XLOOKUP("[S13_AnyOtherIssues][10][OtherInformationOrIssues]",Submission!$O:$O,Submission!$H:$N,""))</f>
        <v>* Plus 16 changes (of MP) occuring without a change to the emission permit, out of this 2 temporary.</v>
      </c>
      <c r="F16" s="353"/>
      <c r="G16" s="353"/>
      <c r="H16" s="353"/>
      <c r="I16" s="260"/>
    </row>
    <row r="17" spans="3:11" ht="27" customHeight="1" x14ac:dyDescent="0.3">
      <c r="C17" s="567"/>
      <c r="D17" s="161" t="str">
        <f>_xlfn.CONCAT(_xlfn.XLOOKUP("[S13_AnyOtherIssues][11][QuestionnaireSubQuestion]",Submission!$O:$O,Submission!$H:$N,""))</f>
        <v/>
      </c>
      <c r="E17" s="353" t="str">
        <f>_xlfn.CONCAT(_xlfn.XLOOKUP("[S13_AnyOtherIssues][11][OtherInformationOrIssues]",Submission!$O:$O,Submission!$H:$N,""))</f>
        <v/>
      </c>
      <c r="F17" s="353"/>
      <c r="G17" s="353"/>
      <c r="H17" s="353"/>
      <c r="I17" s="260"/>
    </row>
    <row r="18" spans="3:11" ht="27" customHeight="1" x14ac:dyDescent="0.3">
      <c r="C18" s="565" t="s">
        <v>1369</v>
      </c>
      <c r="D18" s="161" t="str">
        <f>_xlfn.CONCAT(_xlfn.XLOOKUP("[S13_AnyOtherIssues][12][QuestionnaireSubQuestion]",Submission!$O:$O,Submission!$H:$N,""))</f>
        <v>Question 5.5</v>
      </c>
      <c r="E18" s="353" t="str">
        <f>_xlfn.CONCAT(_xlfn.XLOOKUP("[S13_AnyOtherIssues][12][OtherInformationOrIssues]",Submission!$O:$O,Submission!$H:$N,""))</f>
        <v>* The relatively big change in use of "other fossil fuels" is caused by decommissioning of the production and use of combusted pressurized gas in 2020 in one big installation.</v>
      </c>
      <c r="F18" s="353"/>
      <c r="G18" s="353"/>
      <c r="H18" s="353"/>
      <c r="I18" s="260"/>
      <c r="K18" s="192"/>
    </row>
    <row r="19" spans="3:11" ht="27" customHeight="1" x14ac:dyDescent="0.3">
      <c r="C19" s="566"/>
      <c r="D19" s="161" t="str">
        <f>_xlfn.CONCAT(_xlfn.XLOOKUP("[S13_AnyOtherIssues][13][QuestionnaireSubQuestion]",Submission!$O:$O,Submission!$H:$N,""))</f>
        <v>Question 5.12</v>
      </c>
      <c r="E19" s="353" t="str">
        <f>_xlfn.CONCAT(_xlfn.XLOOKUP("[S13_AnyOtherIssues][13][OtherInformationOrIssues]",Submission!$O:$O,Submission!$H:$N,""))</f>
        <v>* Improvement Reports received in the reported year 2021 (this means relating to issues identified in the year 2020) are included in the Art. 21 report.</v>
      </c>
      <c r="F19" s="353"/>
      <c r="G19" s="353"/>
      <c r="H19" s="353"/>
      <c r="I19" s="260"/>
    </row>
    <row r="20" spans="3:11" ht="27" hidden="1" customHeight="1" outlineLevel="1" x14ac:dyDescent="0.3">
      <c r="C20" s="566"/>
      <c r="D20" s="161" t="str">
        <f>_xlfn.CONCAT(_xlfn.XLOOKUP("[S13_AnyOtherIssues][14][QuestionnaireSubQuestion]",Submission!$O:$O,Submission!$H:$N,""))</f>
        <v>Question 5.16</v>
      </c>
      <c r="E20" s="353" t="str">
        <f>_xlfn.CONCAT(_xlfn.XLOOKUP("[S13_AnyOtherIssues][14][OtherInformationOrIssues]",Submission!$O:$O,Submission!$H:$N,""))</f>
        <v>* For some waste materials 0 t (fossil) emissions is reported. These materials are either waste biomass and do not produce fossil emissions, or a part of a complex process (e.g. in steel industry) that has negative balance of emissions based on input and output amounts of the material. Further, some source streams are reported with no activity data and zero emissions because the material is included in the monitoring plan and the emission report, but has not been used in the reporting period.</v>
      </c>
      <c r="F20" s="353"/>
      <c r="G20" s="353"/>
      <c r="H20" s="353"/>
      <c r="I20" s="260"/>
    </row>
    <row r="21" spans="3:11" ht="27" hidden="1" customHeight="1" outlineLevel="1" x14ac:dyDescent="0.3">
      <c r="C21" s="566"/>
      <c r="D21" s="161" t="str">
        <f>_xlfn.CONCAT(_xlfn.XLOOKUP("[S13_AnyOtherIssues][15][QuestionnaireSubQuestion]",Submission!$O:$O,Submission!$H:$N,""))</f>
        <v/>
      </c>
      <c r="E21" s="353" t="str">
        <f>_xlfn.CONCAT(_xlfn.XLOOKUP("[S13_AnyOtherIssues][15][OtherInformationOrIssues]",Submission!$O:$O,Submission!$H:$N,""))</f>
        <v/>
      </c>
      <c r="F21" s="353"/>
      <c r="G21" s="353"/>
      <c r="H21" s="353"/>
      <c r="I21" s="260"/>
    </row>
    <row r="22" spans="3:11" ht="27" hidden="1" customHeight="1" outlineLevel="1" x14ac:dyDescent="0.3">
      <c r="C22" s="566"/>
      <c r="D22" s="161" t="str">
        <f>_xlfn.CONCAT(_xlfn.XLOOKUP("[S13_AnyOtherIssues][16][QuestionnaireSubQuestion]",Submission!$O:$O,Submission!$H:$N,""))</f>
        <v/>
      </c>
      <c r="E22" s="353" t="str">
        <f>_xlfn.CONCAT(_xlfn.XLOOKUP("[S13_AnyOtherIssues][16][OtherInformationOrIssues]",Submission!$O:$O,Submission!$H:$N,""))</f>
        <v/>
      </c>
      <c r="F22" s="353"/>
      <c r="G22" s="353"/>
      <c r="H22" s="353"/>
      <c r="I22" s="260"/>
    </row>
    <row r="23" spans="3:11" ht="27" hidden="1" customHeight="1" outlineLevel="1" x14ac:dyDescent="0.3">
      <c r="C23" s="566"/>
      <c r="D23" s="161" t="str">
        <f>_xlfn.CONCAT(_xlfn.XLOOKUP("[S13_AnyOtherIssues][17][QuestionnaireSubQuestion]",Submission!$O:$O,Submission!$H:$N,""))</f>
        <v/>
      </c>
      <c r="E23" s="353" t="str">
        <f>_xlfn.CONCAT(_xlfn.XLOOKUP("[S13_AnyOtherIssues][17][OtherInformationOrIssues]",Submission!$O:$O,Submission!$H:$N,""))</f>
        <v/>
      </c>
      <c r="F23" s="353"/>
      <c r="G23" s="353"/>
      <c r="H23" s="353"/>
      <c r="I23" s="260"/>
    </row>
    <row r="24" spans="3:11" ht="27" hidden="1" customHeight="1" outlineLevel="1" x14ac:dyDescent="0.3">
      <c r="C24" s="566"/>
      <c r="D24" s="161" t="str">
        <f>_xlfn.CONCAT(_xlfn.XLOOKUP("[S13_AnyOtherIssues][18][QuestionnaireSubQuestion]",Submission!$O:$O,Submission!$H:$N,""))</f>
        <v/>
      </c>
      <c r="E24" s="353" t="str">
        <f>_xlfn.CONCAT(_xlfn.XLOOKUP("[S13_AnyOtherIssues][18][OtherInformationOrIssues]",Submission!$O:$O,Submission!$H:$N,""))</f>
        <v/>
      </c>
      <c r="F24" s="353"/>
      <c r="G24" s="353"/>
      <c r="H24" s="353"/>
      <c r="I24" s="260"/>
    </row>
    <row r="25" spans="3:11" ht="27" hidden="1" customHeight="1" outlineLevel="1" x14ac:dyDescent="0.3">
      <c r="C25" s="566"/>
      <c r="D25" s="161" t="str">
        <f>_xlfn.CONCAT(_xlfn.XLOOKUP("[S13_AnyOtherIssues][19][QuestionnaireSubQuestion]",Submission!$O:$O,Submission!$H:$N,""))</f>
        <v/>
      </c>
      <c r="E25" s="353" t="str">
        <f>_xlfn.CONCAT(_xlfn.XLOOKUP("[S13_AnyOtherIssues][19][OtherInformationOrIssues]",Submission!$O:$O,Submission!$H:$N,""))</f>
        <v/>
      </c>
      <c r="F25" s="353"/>
      <c r="G25" s="353"/>
      <c r="H25" s="353"/>
      <c r="I25" s="260"/>
    </row>
    <row r="26" spans="3:11" ht="27" hidden="1" customHeight="1" outlineLevel="1" x14ac:dyDescent="0.3">
      <c r="C26" s="566"/>
      <c r="D26" s="161" t="str">
        <f>_xlfn.CONCAT(_xlfn.XLOOKUP("[S13_AnyOtherIssues][20][QuestionnaireSubQuestion]",Submission!$O:$O,Submission!$H:$N,""))</f>
        <v/>
      </c>
      <c r="E26" s="353" t="str">
        <f>_xlfn.CONCAT(_xlfn.XLOOKUP("[S13_AnyOtherIssues][20][OtherInformationOrIssues]",Submission!$O:$O,Submission!$H:$N,""))</f>
        <v/>
      </c>
      <c r="F26" s="353"/>
      <c r="G26" s="353"/>
      <c r="H26" s="353"/>
      <c r="I26" s="260"/>
    </row>
    <row r="27" spans="3:11" ht="27" hidden="1" customHeight="1" outlineLevel="1" x14ac:dyDescent="0.3">
      <c r="C27" s="566"/>
      <c r="D27" s="161" t="str">
        <f>_xlfn.CONCAT(_xlfn.XLOOKUP("[S13_AnyOtherIssues][21][QuestionnaireSubQuestion]",Submission!$O:$O,Submission!$H:$N,""))</f>
        <v/>
      </c>
      <c r="E27" s="353" t="str">
        <f>_xlfn.CONCAT(_xlfn.XLOOKUP("[S13_AnyOtherIssues][21][OtherInformationOrIssues]",Submission!$O:$O,Submission!$H:$N,""))</f>
        <v/>
      </c>
      <c r="F27" s="353"/>
      <c r="G27" s="353"/>
      <c r="H27" s="353"/>
      <c r="I27" s="260"/>
    </row>
    <row r="28" spans="3:11" ht="27" hidden="1" customHeight="1" outlineLevel="1" x14ac:dyDescent="0.3">
      <c r="C28" s="566"/>
      <c r="D28" s="161" t="str">
        <f>_xlfn.CONCAT(_xlfn.XLOOKUP("[S13_AnyOtherIssues][22][QuestionnaireSubQuestion]",Submission!$O:$O,Submission!$H:$N,""))</f>
        <v/>
      </c>
      <c r="E28" s="353" t="str">
        <f>_xlfn.CONCAT(_xlfn.XLOOKUP("[S13_AnyOtherIssues][22][OtherInformationOrIssues]",Submission!$O:$O,Submission!$H:$N,""))</f>
        <v/>
      </c>
      <c r="F28" s="353"/>
      <c r="G28" s="353"/>
      <c r="H28" s="353"/>
      <c r="I28" s="260"/>
    </row>
    <row r="29" spans="3:11" ht="27" hidden="1" customHeight="1" outlineLevel="1" x14ac:dyDescent="0.3">
      <c r="C29" s="566"/>
      <c r="D29" s="161" t="str">
        <f>_xlfn.CONCAT(_xlfn.XLOOKUP("[S13_AnyOtherIssues][23][QuestionnaireSubQuestion]",Submission!$O:$O,Submission!$H:$N,""))</f>
        <v/>
      </c>
      <c r="E29" s="353" t="str">
        <f>_xlfn.CONCAT(_xlfn.XLOOKUP("[S13_AnyOtherIssues][23][OtherInformationOrIssues]",Submission!$O:$O,Submission!$H:$N,""))</f>
        <v/>
      </c>
      <c r="F29" s="353"/>
      <c r="G29" s="353"/>
      <c r="H29" s="353"/>
      <c r="I29" s="260"/>
    </row>
    <row r="30" spans="3:11" ht="27" hidden="1" customHeight="1" outlineLevel="1" x14ac:dyDescent="0.3">
      <c r="C30" s="566"/>
      <c r="D30" s="161" t="str">
        <f>_xlfn.CONCAT(_xlfn.XLOOKUP("[S13_AnyOtherIssues][24][QuestionnaireSubQuestion]",Submission!$O:$O,Submission!$H:$N,""))</f>
        <v/>
      </c>
      <c r="E30" s="353" t="str">
        <f>_xlfn.CONCAT(_xlfn.XLOOKUP("[S13_AnyOtherIssues][24][OtherInformationOrIssues]",Submission!$O:$O,Submission!$H:$N,""))</f>
        <v/>
      </c>
      <c r="F30" s="353"/>
      <c r="G30" s="353"/>
      <c r="H30" s="353"/>
      <c r="I30" s="260"/>
    </row>
    <row r="31" spans="3:11" ht="27" hidden="1" customHeight="1" outlineLevel="1" x14ac:dyDescent="0.3">
      <c r="C31" s="566"/>
      <c r="D31" s="161" t="str">
        <f>_xlfn.CONCAT(_xlfn.XLOOKUP("[S13_AnyOtherIssues][25][QuestionnaireSubQuestion]",Submission!$O:$O,Submission!$H:$N,""))</f>
        <v/>
      </c>
      <c r="E31" s="353" t="str">
        <f>_xlfn.CONCAT(_xlfn.XLOOKUP("[S13_AnyOtherIssues][25][OtherInformationOrIssues]",Submission!$O:$O,Submission!$H:$N,""))</f>
        <v/>
      </c>
      <c r="F31" s="353"/>
      <c r="G31" s="353"/>
      <c r="H31" s="353"/>
      <c r="I31" s="260"/>
    </row>
    <row r="32" spans="3:11" ht="27" hidden="1" customHeight="1" outlineLevel="1" x14ac:dyDescent="0.3">
      <c r="C32" s="566"/>
      <c r="D32" s="161" t="str">
        <f>_xlfn.CONCAT(_xlfn.XLOOKUP("[S13_AnyOtherIssues][26][QuestionnaireSubQuestion]",Submission!$O:$O,Submission!$H:$N,""))</f>
        <v/>
      </c>
      <c r="E32" s="353" t="str">
        <f>_xlfn.CONCAT(_xlfn.XLOOKUP("[S13_AnyOtherIssues][26][OtherInformationOrIssues]",Submission!$O:$O,Submission!$H:$N,""))</f>
        <v/>
      </c>
      <c r="F32" s="353"/>
      <c r="G32" s="353"/>
      <c r="H32" s="353"/>
      <c r="I32" s="260"/>
    </row>
    <row r="33" spans="3:9" ht="27" hidden="1" customHeight="1" outlineLevel="1" x14ac:dyDescent="0.3">
      <c r="C33" s="566"/>
      <c r="D33" s="161" t="str">
        <f>_xlfn.CONCAT(_xlfn.XLOOKUP("[S13_AnyOtherIssues][27][QuestionnaireSubQuestion]",Submission!$O:$O,Submission!$H:$N,""))</f>
        <v/>
      </c>
      <c r="E33" s="353" t="str">
        <f>_xlfn.CONCAT(_xlfn.XLOOKUP("[S13_AnyOtherIssues][27][OtherInformationOrIssues]",Submission!$O:$O,Submission!$H:$N,""))</f>
        <v/>
      </c>
      <c r="F33" s="353"/>
      <c r="G33" s="353"/>
      <c r="H33" s="353"/>
      <c r="I33" s="260"/>
    </row>
    <row r="34" spans="3:9" ht="27" hidden="1" customHeight="1" outlineLevel="1" x14ac:dyDescent="0.3">
      <c r="C34" s="566"/>
      <c r="D34" s="161" t="str">
        <f>_xlfn.CONCAT(_xlfn.XLOOKUP("[S13_AnyOtherIssues][28][QuestionnaireSubQuestion]",Submission!$O:$O,Submission!$H:$N,""))</f>
        <v/>
      </c>
      <c r="E34" s="353" t="str">
        <f>_xlfn.CONCAT(_xlfn.XLOOKUP("[S13_AnyOtherIssues][28][OtherInformationOrIssues]",Submission!$O:$O,Submission!$H:$N,""))</f>
        <v/>
      </c>
      <c r="F34" s="353"/>
      <c r="G34" s="353"/>
      <c r="H34" s="353"/>
      <c r="I34" s="260"/>
    </row>
    <row r="35" spans="3:9" ht="27" hidden="1" customHeight="1" outlineLevel="1" x14ac:dyDescent="0.3">
      <c r="C35" s="566"/>
      <c r="D35" s="161" t="str">
        <f>_xlfn.CONCAT(_xlfn.XLOOKUP("[S13_AnyOtherIssues][29][QuestionnaireSubQuestion]",Submission!$O:$O,Submission!$H:$N,""))</f>
        <v/>
      </c>
      <c r="E35" s="353" t="str">
        <f>_xlfn.CONCAT(_xlfn.XLOOKUP("[S13_AnyOtherIssues][29][OtherInformationOrIssues]",Submission!$O:$O,Submission!$H:$N,""))</f>
        <v/>
      </c>
      <c r="F35" s="353"/>
      <c r="G35" s="353"/>
      <c r="H35" s="353"/>
      <c r="I35" s="260"/>
    </row>
    <row r="36" spans="3:9" ht="27" hidden="1" customHeight="1" outlineLevel="1" x14ac:dyDescent="0.3">
      <c r="C36" s="566"/>
      <c r="D36" s="161" t="str">
        <f>_xlfn.CONCAT(_xlfn.XLOOKUP("[S13_AnyOtherIssues][30][QuestionnaireSubQuestion]",Submission!$O:$O,Submission!$H:$N,""))</f>
        <v/>
      </c>
      <c r="E36" s="353" t="str">
        <f>_xlfn.CONCAT(_xlfn.XLOOKUP("[S13_AnyOtherIssues][30][OtherInformationOrIssues]",Submission!$O:$O,Submission!$H:$N,""))</f>
        <v/>
      </c>
      <c r="F36" s="353"/>
      <c r="G36" s="353"/>
      <c r="H36" s="353"/>
      <c r="I36" s="260"/>
    </row>
    <row r="37" spans="3:9" ht="27" hidden="1" customHeight="1" outlineLevel="1" x14ac:dyDescent="0.3">
      <c r="C37" s="566"/>
      <c r="D37" s="161" t="str">
        <f>_xlfn.CONCAT(_xlfn.XLOOKUP("[S13_AnyOtherIssues][31][QuestionnaireSubQuestion]",Submission!$O:$O,Submission!$H:$N,""))</f>
        <v/>
      </c>
      <c r="E37" s="353" t="str">
        <f>_xlfn.CONCAT(_xlfn.XLOOKUP("[S13_AnyOtherIssues][31][OtherInformationOrIssues]",Submission!$O:$O,Submission!$H:$N,""))</f>
        <v/>
      </c>
      <c r="F37" s="353"/>
      <c r="G37" s="353"/>
      <c r="H37" s="353"/>
      <c r="I37" s="260"/>
    </row>
    <row r="38" spans="3:9" ht="27" hidden="1" customHeight="1" outlineLevel="1" x14ac:dyDescent="0.3">
      <c r="C38" s="566"/>
      <c r="D38" s="161" t="str">
        <f>_xlfn.CONCAT(_xlfn.XLOOKUP("[S13_AnyOtherIssues][32][QuestionnaireSubQuestion]",Submission!$O:$O,Submission!$H:$N,""))</f>
        <v/>
      </c>
      <c r="E38" s="353" t="str">
        <f>_xlfn.CONCAT(_xlfn.XLOOKUP("[S13_AnyOtherIssues][32][OtherInformationOrIssues]",Submission!$O:$O,Submission!$H:$N,""))</f>
        <v/>
      </c>
      <c r="F38" s="353"/>
      <c r="G38" s="353"/>
      <c r="H38" s="353"/>
      <c r="I38" s="260"/>
    </row>
    <row r="39" spans="3:9" ht="27" hidden="1" customHeight="1" outlineLevel="1" x14ac:dyDescent="0.3">
      <c r="C39" s="566"/>
      <c r="D39" s="161" t="str">
        <f>_xlfn.CONCAT(_xlfn.XLOOKUP("[S13_AnyOtherIssues][33][QuestionnaireSubQuestion]",Submission!$O:$O,Submission!$H:$N,""))</f>
        <v/>
      </c>
      <c r="E39" s="353" t="str">
        <f>_xlfn.CONCAT(_xlfn.XLOOKUP("[S13_AnyOtherIssues][33][OtherInformationOrIssues]",Submission!$O:$O,Submission!$H:$N,""))</f>
        <v/>
      </c>
      <c r="F39" s="353"/>
      <c r="G39" s="353"/>
      <c r="H39" s="353"/>
      <c r="I39" s="260"/>
    </row>
    <row r="40" spans="3:9" ht="27" hidden="1" customHeight="1" outlineLevel="1" x14ac:dyDescent="0.3">
      <c r="C40" s="567"/>
      <c r="D40" s="161" t="str">
        <f>_xlfn.CONCAT(_xlfn.XLOOKUP("[S13_AnyOtherIssues][34][QuestionnaireSubQuestion]",Submission!$O:$O,Submission!$H:$N,""))</f>
        <v/>
      </c>
      <c r="E40" s="353" t="str">
        <f>_xlfn.CONCAT(_xlfn.XLOOKUP("[S13_AnyOtherIssues][34][OtherInformationOrIssues]",Submission!$O:$O,Submission!$H:$N,""))</f>
        <v/>
      </c>
      <c r="F40" s="353"/>
      <c r="G40" s="353"/>
      <c r="H40" s="353"/>
      <c r="I40" s="260"/>
    </row>
    <row r="41" spans="3:9" ht="27" customHeight="1" collapsed="1" x14ac:dyDescent="0.3">
      <c r="C41" s="565" t="s">
        <v>1370</v>
      </c>
      <c r="D41" s="161" t="str">
        <f>_xlfn.CONCAT(_xlfn.XLOOKUP("[S13_AnyOtherIssues][35][QuestionnaireSubQuestion]",Submission!$O:$O,Submission!$H:$N,""))</f>
        <v/>
      </c>
      <c r="E41" s="353" t="str">
        <f>_xlfn.CONCAT(_xlfn.XLOOKUP("[S13_AnyOtherIssues][35][OtherInformationOrIssues]",Submission!$O:$O,Submission!$H:$N,""))</f>
        <v/>
      </c>
      <c r="F41" s="353"/>
      <c r="G41" s="353"/>
      <c r="H41" s="353"/>
      <c r="I41" s="260"/>
    </row>
    <row r="42" spans="3:9" ht="27" customHeight="1" x14ac:dyDescent="0.3">
      <c r="C42" s="566"/>
      <c r="D42" s="161" t="str">
        <f>_xlfn.CONCAT(_xlfn.XLOOKUP("[S13_AnyOtherIssues][36][QuestionnaireSubQuestion]",Submission!$O:$O,Submission!$H:$N,""))</f>
        <v/>
      </c>
      <c r="E42" s="353" t="str">
        <f>_xlfn.CONCAT(_xlfn.XLOOKUP("[S13_AnyOtherIssues][36][OtherInformationOrIssues]",Submission!$O:$O,Submission!$H:$N,""))</f>
        <v/>
      </c>
      <c r="F42" s="353"/>
      <c r="G42" s="353"/>
      <c r="H42" s="353"/>
      <c r="I42" s="260"/>
    </row>
    <row r="43" spans="3:9" ht="27" hidden="1" customHeight="1" outlineLevel="1" x14ac:dyDescent="0.3">
      <c r="C43" s="566"/>
      <c r="D43" s="161" t="str">
        <f>_xlfn.CONCAT(_xlfn.XLOOKUP("[S13_AnyOtherIssues][37][QuestionnaireSubQuestion]",Submission!$O:$O,Submission!$H:$N,""))</f>
        <v/>
      </c>
      <c r="E43" s="353" t="str">
        <f>_xlfn.CONCAT(_xlfn.XLOOKUP("[S13_AnyOtherIssues][37][OtherInformationOrIssues]",Submission!$O:$O,Submission!$H:$N,""))</f>
        <v/>
      </c>
      <c r="F43" s="353"/>
      <c r="G43" s="353"/>
      <c r="H43" s="353"/>
      <c r="I43" s="260"/>
    </row>
    <row r="44" spans="3:9" ht="27" hidden="1" customHeight="1" outlineLevel="1" x14ac:dyDescent="0.3">
      <c r="C44" s="566"/>
      <c r="D44" s="161" t="str">
        <f>_xlfn.CONCAT(_xlfn.XLOOKUP("[S13_AnyOtherIssues][38][QuestionnaireSubQuestion]",Submission!$O:$O,Submission!$H:$N,""))</f>
        <v/>
      </c>
      <c r="E44" s="353" t="str">
        <f>_xlfn.CONCAT(_xlfn.XLOOKUP("[S13_AnyOtherIssues][38][OtherInformationOrIssues]",Submission!$O:$O,Submission!$H:$N,""))</f>
        <v/>
      </c>
      <c r="F44" s="353"/>
      <c r="G44" s="353"/>
      <c r="H44" s="353"/>
      <c r="I44" s="260"/>
    </row>
    <row r="45" spans="3:9" ht="27" hidden="1" customHeight="1" outlineLevel="1" x14ac:dyDescent="0.3">
      <c r="C45" s="566"/>
      <c r="D45" s="161" t="str">
        <f>_xlfn.CONCAT(_xlfn.XLOOKUP("[S13_AnyOtherIssues][39][QuestionnaireSubQuestion]",Submission!$O:$O,Submission!$H:$N,""))</f>
        <v/>
      </c>
      <c r="E45" s="353" t="str">
        <f>_xlfn.CONCAT(_xlfn.XLOOKUP("[S13_AnyOtherIssues][39][OtherInformationOrIssues]",Submission!$O:$O,Submission!$H:$N,""))</f>
        <v/>
      </c>
      <c r="F45" s="353"/>
      <c r="G45" s="353"/>
      <c r="H45" s="353"/>
      <c r="I45" s="260"/>
    </row>
    <row r="46" spans="3:9" ht="27" hidden="1" customHeight="1" outlineLevel="1" x14ac:dyDescent="0.3">
      <c r="C46" s="566"/>
      <c r="D46" s="161" t="str">
        <f>_xlfn.CONCAT(_xlfn.XLOOKUP("[S13_AnyOtherIssues][40][QuestionnaireSubQuestion]",Submission!$O:$O,Submission!$H:$N,""))</f>
        <v/>
      </c>
      <c r="E46" s="353" t="str">
        <f>_xlfn.CONCAT(_xlfn.XLOOKUP("[S13_AnyOtherIssues][40][OtherInformationOrIssues]",Submission!$O:$O,Submission!$H:$N,""))</f>
        <v/>
      </c>
      <c r="F46" s="353"/>
      <c r="G46" s="353"/>
      <c r="H46" s="353"/>
      <c r="I46" s="260"/>
    </row>
    <row r="47" spans="3:9" ht="27" hidden="1" customHeight="1" outlineLevel="1" x14ac:dyDescent="0.3">
      <c r="C47" s="566"/>
      <c r="D47" s="161" t="str">
        <f>_xlfn.CONCAT(_xlfn.XLOOKUP("[S13_AnyOtherIssues][41][QuestionnaireSubQuestion]",Submission!$O:$O,Submission!$H:$N,""))</f>
        <v/>
      </c>
      <c r="E47" s="353" t="str">
        <f>_xlfn.CONCAT(_xlfn.XLOOKUP("[S13_AnyOtherIssues][41][OtherInformationOrIssues]",Submission!$O:$O,Submission!$H:$N,""))</f>
        <v/>
      </c>
      <c r="F47" s="353"/>
      <c r="G47" s="353"/>
      <c r="H47" s="353"/>
      <c r="I47" s="260"/>
    </row>
    <row r="48" spans="3:9" ht="27" hidden="1" customHeight="1" outlineLevel="1" x14ac:dyDescent="0.3">
      <c r="C48" s="566"/>
      <c r="D48" s="161" t="str">
        <f>_xlfn.CONCAT(_xlfn.XLOOKUP("[S13_AnyOtherIssues][42][QuestionnaireSubQuestion]",Submission!$O:$O,Submission!$H:$N,""))</f>
        <v/>
      </c>
      <c r="E48" s="353" t="str">
        <f>_xlfn.CONCAT(_xlfn.XLOOKUP("[S13_AnyOtherIssues][42][OtherInformationOrIssues]",Submission!$O:$O,Submission!$H:$N,""))</f>
        <v/>
      </c>
      <c r="F48" s="353"/>
      <c r="G48" s="353"/>
      <c r="H48" s="353"/>
      <c r="I48" s="260"/>
    </row>
    <row r="49" spans="3:9" ht="27" hidden="1" customHeight="1" outlineLevel="1" x14ac:dyDescent="0.3">
      <c r="C49" s="566"/>
      <c r="D49" s="161" t="str">
        <f>_xlfn.CONCAT(_xlfn.XLOOKUP("[S13_AnyOtherIssues][43][QuestionnaireSubQuestion]",Submission!$O:$O,Submission!$H:$N,""))</f>
        <v/>
      </c>
      <c r="E49" s="353" t="str">
        <f>_xlfn.CONCAT(_xlfn.XLOOKUP("[S13_AnyOtherIssues][43][OtherInformationOrIssues]",Submission!$O:$O,Submission!$H:$N,""))</f>
        <v/>
      </c>
      <c r="F49" s="353"/>
      <c r="G49" s="353"/>
      <c r="H49" s="353"/>
      <c r="I49" s="260"/>
    </row>
    <row r="50" spans="3:9" ht="27" hidden="1" customHeight="1" outlineLevel="1" x14ac:dyDescent="0.3">
      <c r="C50" s="566"/>
      <c r="D50" s="161" t="str">
        <f>_xlfn.CONCAT(_xlfn.XLOOKUP("[S13_AnyOtherIssues][44][QuestionnaireSubQuestion]",Submission!$O:$O,Submission!$H:$N,""))</f>
        <v/>
      </c>
      <c r="E50" s="353" t="str">
        <f>_xlfn.CONCAT(_xlfn.XLOOKUP("[S13_AnyOtherIssues][44][OtherInformationOrIssues]",Submission!$O:$O,Submission!$H:$N,""))</f>
        <v/>
      </c>
      <c r="F50" s="353"/>
      <c r="G50" s="353"/>
      <c r="H50" s="353"/>
      <c r="I50" s="260"/>
    </row>
    <row r="51" spans="3:9" ht="27" hidden="1" customHeight="1" outlineLevel="1" x14ac:dyDescent="0.3">
      <c r="C51" s="566"/>
      <c r="D51" s="161" t="str">
        <f>_xlfn.CONCAT(_xlfn.XLOOKUP("[S13_AnyOtherIssues][45][QuestionnaireSubQuestion]",Submission!$O:$O,Submission!$H:$N,""))</f>
        <v/>
      </c>
      <c r="E51" s="353" t="str">
        <f>_xlfn.CONCAT(_xlfn.XLOOKUP("[S13_AnyOtherIssues][45][OtherInformationOrIssues]",Submission!$O:$O,Submission!$H:$N,""))</f>
        <v/>
      </c>
      <c r="F51" s="353"/>
      <c r="G51" s="353"/>
      <c r="H51" s="353"/>
      <c r="I51" s="260"/>
    </row>
    <row r="52" spans="3:9" ht="27" hidden="1" customHeight="1" outlineLevel="1" x14ac:dyDescent="0.3">
      <c r="C52" s="567"/>
      <c r="D52" s="161" t="str">
        <f>_xlfn.CONCAT(_xlfn.XLOOKUP("[S13_AnyOtherIssues][46][QuestionnaireSubQuestion]",Submission!$O:$O,Submission!$H:$N,""))</f>
        <v/>
      </c>
      <c r="E52" s="353" t="str">
        <f>_xlfn.CONCAT(_xlfn.XLOOKUP("[S13_AnyOtherIssues][46][OtherInformationOrIssues]",Submission!$O:$O,Submission!$H:$N,""))</f>
        <v/>
      </c>
      <c r="F52" s="353"/>
      <c r="G52" s="353"/>
      <c r="H52" s="353"/>
      <c r="I52" s="260"/>
    </row>
    <row r="53" spans="3:9" ht="27" customHeight="1" collapsed="1" x14ac:dyDescent="0.3">
      <c r="C53" s="565" t="s">
        <v>1371</v>
      </c>
      <c r="D53" s="161" t="str">
        <f>_xlfn.CONCAT(_xlfn.XLOOKUP("[S13_AnyOtherIssues][47][QuestionnaireSubQuestion]",Submission!$O:$O,Submission!$H:$N,""))</f>
        <v>Question 7.1</v>
      </c>
      <c r="E53" s="353" t="str">
        <f>_xlfn.CONCAT(_xlfn.XLOOKUP("[S13_AnyOtherIssues][47][OtherInformationOrIssues]",Submission!$O:$O,Submission!$H:$N,""))</f>
        <v>The copy of CZ specific terms and conditions required to be signed by account holders is submitted in the attachment of this report, including a unofficial courtesy translation to EN.</v>
      </c>
      <c r="F53" s="353"/>
      <c r="G53" s="353"/>
      <c r="H53" s="353"/>
      <c r="I53" s="260"/>
    </row>
    <row r="54" spans="3:9" ht="27" customHeight="1" x14ac:dyDescent="0.3">
      <c r="C54" s="566"/>
      <c r="D54" s="161" t="str">
        <f>_xlfn.CONCAT(_xlfn.XLOOKUP("[S13_AnyOtherIssues][48][QuestionnaireSubQuestion]",Submission!$O:$O,Submission!$H:$N,""))</f>
        <v/>
      </c>
      <c r="E54" s="353" t="str">
        <f>_xlfn.CONCAT(_xlfn.XLOOKUP("[S13_AnyOtherIssues][48][OtherInformationOrIssues]",Submission!$O:$O,Submission!$H:$N,""))</f>
        <v/>
      </c>
      <c r="F54" s="353"/>
      <c r="G54" s="353"/>
      <c r="H54" s="353"/>
      <c r="I54" s="260"/>
    </row>
    <row r="55" spans="3:9" ht="27" hidden="1" customHeight="1" outlineLevel="1" x14ac:dyDescent="0.3">
      <c r="C55" s="567"/>
      <c r="D55" s="161" t="str">
        <f>_xlfn.CONCAT(_xlfn.XLOOKUP("[S13_AnyOtherIssues][49][QuestionnaireSubQuestion]",Submission!$O:$O,Submission!$H:$N,""))</f>
        <v/>
      </c>
      <c r="E55" s="353" t="str">
        <f>_xlfn.CONCAT(_xlfn.XLOOKUP("[S13_AnyOtherIssues][49][OtherInformationOrIssues]",Submission!$O:$O,Submission!$H:$N,""))</f>
        <v/>
      </c>
      <c r="F55" s="353"/>
      <c r="G55" s="353"/>
      <c r="H55" s="353"/>
      <c r="I55" s="260"/>
    </row>
    <row r="56" spans="3:9" ht="27" customHeight="1" collapsed="1" x14ac:dyDescent="0.3">
      <c r="C56" s="565" t="s">
        <v>1372</v>
      </c>
      <c r="D56" s="161" t="str">
        <f>_xlfn.CONCAT(_xlfn.XLOOKUP("[S13_AnyOtherIssues][50][QuestionnaireSubQuestion]",Submission!$O:$O,Submission!$H:$N,""))</f>
        <v/>
      </c>
      <c r="E56" s="353" t="str">
        <f>_xlfn.CONCAT(_xlfn.XLOOKUP("[S13_AnyOtherIssues][50][OtherInformationOrIssues]",Submission!$O:$O,Submission!$H:$N,""))</f>
        <v/>
      </c>
      <c r="F56" s="353"/>
      <c r="G56" s="353"/>
      <c r="H56" s="353"/>
      <c r="I56" s="260"/>
    </row>
    <row r="57" spans="3:9" ht="27" customHeight="1" x14ac:dyDescent="0.3">
      <c r="C57" s="566"/>
      <c r="D57" s="161" t="str">
        <f>_xlfn.CONCAT(_xlfn.XLOOKUP("[S13_AnyOtherIssues][51][QuestionnaireSubQuestion]",Submission!$O:$O,Submission!$H:$N,""))</f>
        <v/>
      </c>
      <c r="E57" s="353" t="str">
        <f>_xlfn.CONCAT(_xlfn.XLOOKUP("[S13_AnyOtherIssues][51][OtherInformationOrIssues]",Submission!$O:$O,Submission!$H:$N,""))</f>
        <v/>
      </c>
      <c r="F57" s="353"/>
      <c r="G57" s="353"/>
      <c r="H57" s="353"/>
      <c r="I57" s="260"/>
    </row>
    <row r="58" spans="3:9" ht="27" hidden="1" customHeight="1" outlineLevel="1" x14ac:dyDescent="0.3">
      <c r="C58" s="566"/>
      <c r="D58" s="161" t="str">
        <f>_xlfn.CONCAT(_xlfn.XLOOKUP("[S13_AnyOtherIssues][52][QuestionnaireSubQuestion]",Submission!$O:$O,Submission!$H:$N,""))</f>
        <v/>
      </c>
      <c r="E58" s="353" t="str">
        <f>_xlfn.CONCAT(_xlfn.XLOOKUP("[S13_AnyOtherIssues][52][OtherInformationOrIssues]",Submission!$O:$O,Submission!$H:$N,""))</f>
        <v/>
      </c>
      <c r="F58" s="353"/>
      <c r="G58" s="353"/>
      <c r="H58" s="353"/>
      <c r="I58" s="260"/>
    </row>
    <row r="59" spans="3:9" ht="27" hidden="1" customHeight="1" outlineLevel="1" x14ac:dyDescent="0.3">
      <c r="C59" s="566"/>
      <c r="D59" s="161" t="str">
        <f>_xlfn.CONCAT(_xlfn.XLOOKUP("[S13_AnyOtherIssues][53][QuestionnaireSubQuestion]",Submission!$O:$O,Submission!$H:$N,""))</f>
        <v/>
      </c>
      <c r="E59" s="353" t="str">
        <f>_xlfn.CONCAT(_xlfn.XLOOKUP("[S13_AnyOtherIssues][53][OtherInformationOrIssues]",Submission!$O:$O,Submission!$H:$N,""))</f>
        <v/>
      </c>
      <c r="F59" s="353"/>
      <c r="G59" s="353"/>
      <c r="H59" s="353"/>
      <c r="I59" s="260"/>
    </row>
    <row r="60" spans="3:9" ht="27" hidden="1" customHeight="1" outlineLevel="1" x14ac:dyDescent="0.3">
      <c r="C60" s="566"/>
      <c r="D60" s="161" t="str">
        <f>_xlfn.CONCAT(_xlfn.XLOOKUP("[S13_AnyOtherIssues][54][QuestionnaireSubQuestion]",Submission!$O:$O,Submission!$H:$N,""))</f>
        <v/>
      </c>
      <c r="E60" s="353" t="str">
        <f>_xlfn.CONCAT(_xlfn.XLOOKUP("[S13_AnyOtherIssues][54][OtherInformationOrIssues]",Submission!$O:$O,Submission!$H:$N,""))</f>
        <v/>
      </c>
      <c r="F60" s="353"/>
      <c r="G60" s="353"/>
      <c r="H60" s="353"/>
      <c r="I60" s="260"/>
    </row>
    <row r="61" spans="3:9" ht="27" hidden="1" customHeight="1" outlineLevel="1" x14ac:dyDescent="0.3">
      <c r="C61" s="566"/>
      <c r="D61" s="161" t="str">
        <f>_xlfn.CONCAT(_xlfn.XLOOKUP("[S13_AnyOtherIssues][55][QuestionnaireSubQuestion]",Submission!$O:$O,Submission!$H:$N,""))</f>
        <v/>
      </c>
      <c r="E61" s="353" t="str">
        <f>_xlfn.CONCAT(_xlfn.XLOOKUP("[S13_AnyOtherIssues][55][OtherInformationOrIssues]",Submission!$O:$O,Submission!$H:$N,""))</f>
        <v/>
      </c>
      <c r="F61" s="353"/>
      <c r="G61" s="353"/>
      <c r="H61" s="353"/>
      <c r="I61" s="260"/>
    </row>
    <row r="62" spans="3:9" ht="27" hidden="1" customHeight="1" outlineLevel="1" x14ac:dyDescent="0.3">
      <c r="C62" s="566"/>
      <c r="D62" s="161" t="str">
        <f>_xlfn.CONCAT(_xlfn.XLOOKUP("[S13_AnyOtherIssues][56][QuestionnaireSubQuestion]",Submission!$O:$O,Submission!$H:$N,""))</f>
        <v/>
      </c>
      <c r="E62" s="353" t="str">
        <f>_xlfn.CONCAT(_xlfn.XLOOKUP("[S13_AnyOtherIssues][56][OtherInformationOrIssues]",Submission!$O:$O,Submission!$H:$N,""))</f>
        <v/>
      </c>
      <c r="F62" s="353"/>
      <c r="G62" s="353"/>
      <c r="H62" s="353"/>
      <c r="I62" s="260"/>
    </row>
    <row r="63" spans="3:9" ht="27" hidden="1" customHeight="1" outlineLevel="1" x14ac:dyDescent="0.3">
      <c r="C63" s="566"/>
      <c r="D63" s="161" t="str">
        <f>_xlfn.CONCAT(_xlfn.XLOOKUP("[S13_AnyOtherIssues][57][QuestionnaireSubQuestion]",Submission!$O:$O,Submission!$H:$N,""))</f>
        <v/>
      </c>
      <c r="E63" s="353" t="str">
        <f>_xlfn.CONCAT(_xlfn.XLOOKUP("[S13_AnyOtherIssues][57][OtherInformationOrIssues]",Submission!$O:$O,Submission!$H:$N,""))</f>
        <v/>
      </c>
      <c r="F63" s="353"/>
      <c r="G63" s="353"/>
      <c r="H63" s="353"/>
      <c r="I63" s="260"/>
    </row>
    <row r="64" spans="3:9" ht="27" hidden="1" customHeight="1" outlineLevel="1" x14ac:dyDescent="0.3">
      <c r="C64" s="566"/>
      <c r="D64" s="161" t="str">
        <f>_xlfn.CONCAT(_xlfn.XLOOKUP("[S13_AnyOtherIssues][58][QuestionnaireSubQuestion]",Submission!$O:$O,Submission!$H:$N,""))</f>
        <v/>
      </c>
      <c r="E64" s="353" t="str">
        <f>_xlfn.CONCAT(_xlfn.XLOOKUP("[S13_AnyOtherIssues][58][OtherInformationOrIssues]",Submission!$O:$O,Submission!$H:$N,""))</f>
        <v/>
      </c>
      <c r="F64" s="353"/>
      <c r="G64" s="353"/>
      <c r="H64" s="353"/>
      <c r="I64" s="260"/>
    </row>
    <row r="65" spans="3:9" ht="27" hidden="1" customHeight="1" outlineLevel="1" x14ac:dyDescent="0.3">
      <c r="C65" s="566"/>
      <c r="D65" s="161" t="str">
        <f>_xlfn.CONCAT(_xlfn.XLOOKUP("[S13_AnyOtherIssues][59][QuestionnaireSubQuestion]",Submission!$O:$O,Submission!$H:$N,""))</f>
        <v/>
      </c>
      <c r="E65" s="353" t="str">
        <f>_xlfn.CONCAT(_xlfn.XLOOKUP("[S13_AnyOtherIssues][59][OtherInformationOrIssues]",Submission!$O:$O,Submission!$H:$N,""))</f>
        <v/>
      </c>
      <c r="F65" s="353"/>
      <c r="G65" s="353"/>
      <c r="H65" s="353"/>
      <c r="I65" s="260"/>
    </row>
    <row r="66" spans="3:9" ht="27" hidden="1" customHeight="1" outlineLevel="1" x14ac:dyDescent="0.3">
      <c r="C66" s="566"/>
      <c r="D66" s="161" t="str">
        <f>_xlfn.CONCAT(_xlfn.XLOOKUP("[S13_AnyOtherIssues][60][QuestionnaireSubQuestion]",Submission!$O:$O,Submission!$H:$N,""))</f>
        <v/>
      </c>
      <c r="E66" s="353" t="str">
        <f>_xlfn.CONCAT(_xlfn.XLOOKUP("[S13_AnyOtherIssues][60][OtherInformationOrIssues]",Submission!$O:$O,Submission!$H:$N,""))</f>
        <v/>
      </c>
      <c r="F66" s="353"/>
      <c r="G66" s="353"/>
      <c r="H66" s="353"/>
      <c r="I66" s="260"/>
    </row>
    <row r="67" spans="3:9" ht="27" hidden="1" customHeight="1" outlineLevel="1" x14ac:dyDescent="0.3">
      <c r="C67" s="566"/>
      <c r="D67" s="161" t="str">
        <f>_xlfn.CONCAT(_xlfn.XLOOKUP("[S13_AnyOtherIssues][61][QuestionnaireSubQuestion]",Submission!$O:$O,Submission!$H:$N,""))</f>
        <v/>
      </c>
      <c r="E67" s="353" t="str">
        <f>_xlfn.CONCAT(_xlfn.XLOOKUP("[S13_AnyOtherIssues][61][OtherInformationOrIssues]",Submission!$O:$O,Submission!$H:$N,""))</f>
        <v/>
      </c>
      <c r="F67" s="353"/>
      <c r="G67" s="353"/>
      <c r="H67" s="353"/>
      <c r="I67" s="260"/>
    </row>
    <row r="68" spans="3:9" ht="27" hidden="1" customHeight="1" outlineLevel="1" x14ac:dyDescent="0.3">
      <c r="C68" s="566"/>
      <c r="D68" s="161" t="str">
        <f>_xlfn.CONCAT(_xlfn.XLOOKUP("[S13_AnyOtherIssues][62][QuestionnaireSubQuestion]",Submission!$O:$O,Submission!$H:$N,""))</f>
        <v/>
      </c>
      <c r="E68" s="353" t="str">
        <f>_xlfn.CONCAT(_xlfn.XLOOKUP("[S13_AnyOtherIssues][62][OtherInformationOrIssues]",Submission!$O:$O,Submission!$H:$N,""))</f>
        <v/>
      </c>
      <c r="F68" s="353"/>
      <c r="G68" s="353"/>
      <c r="H68" s="353"/>
      <c r="I68" s="260"/>
    </row>
    <row r="69" spans="3:9" ht="27" hidden="1" customHeight="1" outlineLevel="1" x14ac:dyDescent="0.3">
      <c r="C69" s="566"/>
      <c r="D69" s="161" t="str">
        <f>_xlfn.CONCAT(_xlfn.XLOOKUP("[S13_AnyOtherIssues][63][QuestionnaireSubQuestion]",Submission!$O:$O,Submission!$H:$N,""))</f>
        <v/>
      </c>
      <c r="E69" s="353" t="str">
        <f>_xlfn.CONCAT(_xlfn.XLOOKUP("[S13_AnyOtherIssues][63][OtherInformationOrIssues]",Submission!$O:$O,Submission!$H:$N,""))</f>
        <v/>
      </c>
      <c r="F69" s="353"/>
      <c r="G69" s="353"/>
      <c r="H69" s="353"/>
      <c r="I69" s="260"/>
    </row>
    <row r="70" spans="3:9" ht="27" hidden="1" customHeight="1" outlineLevel="1" x14ac:dyDescent="0.3">
      <c r="C70" s="566"/>
      <c r="D70" s="161" t="str">
        <f>_xlfn.CONCAT(_xlfn.XLOOKUP("[S13_AnyOtherIssues][64][QuestionnaireSubQuestion]",Submission!$O:$O,Submission!$H:$N,""))</f>
        <v/>
      </c>
      <c r="E70" s="353" t="str">
        <f>_xlfn.CONCAT(_xlfn.XLOOKUP("[S13_AnyOtherIssues][64][OtherInformationOrIssues]",Submission!$O:$O,Submission!$H:$N,""))</f>
        <v/>
      </c>
      <c r="F70" s="353"/>
      <c r="G70" s="353"/>
      <c r="H70" s="353"/>
      <c r="I70" s="260"/>
    </row>
    <row r="71" spans="3:9" ht="27" hidden="1" customHeight="1" outlineLevel="1" x14ac:dyDescent="0.3">
      <c r="C71" s="566"/>
      <c r="D71" s="161" t="str">
        <f>_xlfn.CONCAT(_xlfn.XLOOKUP("[S13_AnyOtherIssues][65][QuestionnaireSubQuestion]",Submission!$O:$O,Submission!$H:$N,""))</f>
        <v/>
      </c>
      <c r="E71" s="353" t="str">
        <f>_xlfn.CONCAT(_xlfn.XLOOKUP("[S13_AnyOtherIssues][65][OtherInformationOrIssues]",Submission!$O:$O,Submission!$H:$N,""))</f>
        <v/>
      </c>
      <c r="F71" s="353"/>
      <c r="G71" s="353"/>
      <c r="H71" s="353"/>
      <c r="I71" s="260"/>
    </row>
    <row r="72" spans="3:9" ht="27" hidden="1" customHeight="1" outlineLevel="1" x14ac:dyDescent="0.3">
      <c r="C72" s="566"/>
      <c r="D72" s="161" t="str">
        <f>_xlfn.CONCAT(_xlfn.XLOOKUP("[S13_AnyOtherIssues][66][QuestionnaireSubQuestion]",Submission!$O:$O,Submission!$H:$N,""))</f>
        <v/>
      </c>
      <c r="E72" s="353" t="str">
        <f>_xlfn.CONCAT(_xlfn.XLOOKUP("[S13_AnyOtherIssues][66][OtherInformationOrIssues]",Submission!$O:$O,Submission!$H:$N,""))</f>
        <v/>
      </c>
      <c r="F72" s="353"/>
      <c r="G72" s="353"/>
      <c r="H72" s="353"/>
      <c r="I72" s="260"/>
    </row>
    <row r="73" spans="3:9" ht="27" hidden="1" customHeight="1" outlineLevel="1" x14ac:dyDescent="0.3">
      <c r="C73" s="567"/>
      <c r="D73" s="161" t="str">
        <f>_xlfn.CONCAT(_xlfn.XLOOKUP("[S13_AnyOtherIssues][67][QuestionnaireSubQuestion]",Submission!$O:$O,Submission!$H:$N,""))</f>
        <v/>
      </c>
      <c r="E73" s="353" t="str">
        <f>_xlfn.CONCAT(_xlfn.XLOOKUP("[S13_AnyOtherIssues][67][OtherInformationOrIssues]",Submission!$O:$O,Submission!$H:$N,""))</f>
        <v/>
      </c>
      <c r="F73" s="353"/>
      <c r="G73" s="353"/>
      <c r="H73" s="353"/>
      <c r="I73" s="260"/>
    </row>
    <row r="74" spans="3:9" ht="27" customHeight="1" collapsed="1" x14ac:dyDescent="0.3">
      <c r="C74" s="565" t="s">
        <v>1373</v>
      </c>
      <c r="D74" s="161" t="str">
        <f>_xlfn.CONCAT(_xlfn.XLOOKUP("[S13_AnyOtherIssues][68][QuestionnaireSubQuestion]",Submission!$O:$O,Submission!$H:$N,""))</f>
        <v/>
      </c>
      <c r="E74" s="353" t="str">
        <f>_xlfn.CONCAT(_xlfn.XLOOKUP("[S13_AnyOtherIssues][68][OtherInformationOrIssues]",Submission!$O:$O,Submission!$H:$N,""))</f>
        <v/>
      </c>
      <c r="F74" s="353"/>
      <c r="G74" s="353"/>
      <c r="H74" s="353"/>
      <c r="I74" s="260"/>
    </row>
    <row r="75" spans="3:9" ht="27" customHeight="1" x14ac:dyDescent="0.3">
      <c r="C75" s="566"/>
      <c r="D75" s="161" t="str">
        <f>_xlfn.CONCAT(_xlfn.XLOOKUP("[S13_AnyOtherIssues][69][QuestionnaireSubQuestion]",Submission!$O:$O,Submission!$H:$N,""))</f>
        <v/>
      </c>
      <c r="E75" s="353" t="str">
        <f>_xlfn.CONCAT(_xlfn.XLOOKUP("[S13_AnyOtherIssues][69][OtherInformationOrIssues]",Submission!$O:$O,Submission!$H:$N,""))</f>
        <v/>
      </c>
      <c r="F75" s="353"/>
      <c r="G75" s="353"/>
      <c r="H75" s="353"/>
      <c r="I75" s="260"/>
    </row>
    <row r="76" spans="3:9" ht="27" hidden="1" customHeight="1" outlineLevel="1" x14ac:dyDescent="0.3">
      <c r="C76" s="567"/>
      <c r="D76" s="161" t="str">
        <f>_xlfn.CONCAT(_xlfn.XLOOKUP("[S13_AnyOtherIssues][70][QuestionnaireSubQuestion]",Submission!$O:$O,Submission!$H:$N,""))</f>
        <v/>
      </c>
      <c r="E76" s="353" t="str">
        <f>_xlfn.CONCAT(_xlfn.XLOOKUP("[S13_AnyOtherIssues][70][OtherInformationOrIssues]",Submission!$O:$O,Submission!$H:$N,""))</f>
        <v/>
      </c>
      <c r="F76" s="353"/>
      <c r="G76" s="353"/>
      <c r="H76" s="353"/>
      <c r="I76" s="260"/>
    </row>
    <row r="77" spans="3:9" ht="27" customHeight="1" collapsed="1" x14ac:dyDescent="0.3">
      <c r="C77" s="565" t="s">
        <v>1374</v>
      </c>
      <c r="D77" s="161" t="str">
        <f>_xlfn.CONCAT(_xlfn.XLOOKUP("[S13_AnyOtherIssues][71][QuestionnaireSubQuestion]",Submission!$O:$O,Submission!$H:$N,""))</f>
        <v/>
      </c>
      <c r="E77" s="353" t="str">
        <f>_xlfn.CONCAT(_xlfn.XLOOKUP("[S13_AnyOtherIssues][71][OtherInformationOrIssues]",Submission!$O:$O,Submission!$H:$N,""))</f>
        <v/>
      </c>
      <c r="F77" s="353"/>
      <c r="G77" s="353"/>
      <c r="H77" s="353"/>
      <c r="I77" s="260"/>
    </row>
    <row r="78" spans="3:9" ht="27" customHeight="1" x14ac:dyDescent="0.3">
      <c r="C78" s="566"/>
      <c r="D78" s="161" t="str">
        <f>_xlfn.CONCAT(_xlfn.XLOOKUP("[S13_AnyOtherIssues][72][QuestionnaireSubQuestion]",Submission!$O:$O,Submission!$H:$N,""))</f>
        <v/>
      </c>
      <c r="E78" s="353" t="str">
        <f>_xlfn.CONCAT(_xlfn.XLOOKUP("[S13_AnyOtherIssues][72][OtherInformationOrIssues]",Submission!$O:$O,Submission!$H:$N,""))</f>
        <v/>
      </c>
      <c r="F78" s="353"/>
      <c r="G78" s="353"/>
      <c r="H78" s="353"/>
      <c r="I78" s="260"/>
    </row>
    <row r="79" spans="3:9" ht="27" hidden="1" customHeight="1" outlineLevel="1" x14ac:dyDescent="0.3">
      <c r="C79" s="566"/>
      <c r="D79" s="161" t="str">
        <f>_xlfn.CONCAT(_xlfn.XLOOKUP("[S13_AnyOtherIssues][73][QuestionnaireSubQuestion]",Submission!$O:$O,Submission!$H:$N,""))</f>
        <v/>
      </c>
      <c r="E79" s="353" t="str">
        <f>_xlfn.CONCAT(_xlfn.XLOOKUP("[S13_AnyOtherIssues][73][OtherInformationOrIssues]",Submission!$O:$O,Submission!$H:$N,""))</f>
        <v/>
      </c>
      <c r="F79" s="353"/>
      <c r="G79" s="353"/>
      <c r="H79" s="353"/>
      <c r="I79" s="260"/>
    </row>
    <row r="80" spans="3:9" ht="27" hidden="1" customHeight="1" outlineLevel="1" x14ac:dyDescent="0.3">
      <c r="C80" s="566"/>
      <c r="D80" s="161" t="str">
        <f>_xlfn.CONCAT(_xlfn.XLOOKUP("[S13_AnyOtherIssues][74][QuestionnaireSubQuestion]",Submission!$O:$O,Submission!$H:$N,""))</f>
        <v/>
      </c>
      <c r="E80" s="353" t="str">
        <f>_xlfn.CONCAT(_xlfn.XLOOKUP("[S13_AnyOtherIssues][74][OtherInformationOrIssues]",Submission!$O:$O,Submission!$H:$N,""))</f>
        <v/>
      </c>
      <c r="F80" s="353"/>
      <c r="G80" s="353"/>
      <c r="H80" s="353"/>
      <c r="I80" s="260"/>
    </row>
    <row r="81" spans="1:9" ht="27" hidden="1" customHeight="1" outlineLevel="1" x14ac:dyDescent="0.3">
      <c r="C81" s="566"/>
      <c r="D81" s="161" t="str">
        <f>_xlfn.CONCAT(_xlfn.XLOOKUP("[S13_AnyOtherIssues][75][QuestionnaireSubQuestion]",Submission!$O:$O,Submission!$H:$N,""))</f>
        <v/>
      </c>
      <c r="E81" s="353" t="str">
        <f>_xlfn.CONCAT(_xlfn.XLOOKUP("[S13_AnyOtherIssues][75][OtherInformationOrIssues]",Submission!$O:$O,Submission!$H:$N,""))</f>
        <v/>
      </c>
      <c r="F81" s="353"/>
      <c r="G81" s="353"/>
      <c r="H81" s="353"/>
      <c r="I81" s="260"/>
    </row>
    <row r="82" spans="1:9" ht="27" hidden="1" customHeight="1" outlineLevel="1" x14ac:dyDescent="0.3">
      <c r="C82" s="566"/>
      <c r="D82" s="161" t="str">
        <f>_xlfn.CONCAT(_xlfn.XLOOKUP("[S13_AnyOtherIssues][76][QuestionnaireSubQuestion]",Submission!$O:$O,Submission!$H:$N,""))</f>
        <v/>
      </c>
      <c r="E82" s="353" t="str">
        <f>_xlfn.CONCAT(_xlfn.XLOOKUP("[S13_AnyOtherIssues][76][OtherInformationOrIssues]",Submission!$O:$O,Submission!$H:$N,""))</f>
        <v/>
      </c>
      <c r="F82" s="353"/>
      <c r="G82" s="353"/>
      <c r="H82" s="353"/>
      <c r="I82" s="260"/>
    </row>
    <row r="83" spans="1:9" ht="27" hidden="1" customHeight="1" outlineLevel="1" x14ac:dyDescent="0.3">
      <c r="C83" s="566"/>
      <c r="D83" s="161" t="str">
        <f>_xlfn.CONCAT(_xlfn.XLOOKUP("[S13_AnyOtherIssues][77][QuestionnaireSubQuestion]",Submission!$O:$O,Submission!$H:$N,""))</f>
        <v/>
      </c>
      <c r="E83" s="353" t="str">
        <f>_xlfn.CONCAT(_xlfn.XLOOKUP("[S13_AnyOtherIssues][77][OtherInformationOrIssues]",Submission!$O:$O,Submission!$H:$N,""))</f>
        <v/>
      </c>
      <c r="F83" s="353"/>
      <c r="G83" s="353"/>
      <c r="H83" s="353"/>
      <c r="I83" s="260"/>
    </row>
    <row r="84" spans="1:9" ht="27" hidden="1" customHeight="1" outlineLevel="1" x14ac:dyDescent="0.3">
      <c r="C84" s="566"/>
      <c r="D84" s="161" t="str">
        <f>_xlfn.CONCAT(_xlfn.XLOOKUP("[S13_AnyOtherIssues][78][QuestionnaireSubQuestion]",Submission!$O:$O,Submission!$H:$N,""))</f>
        <v/>
      </c>
      <c r="E84" s="353" t="str">
        <f>_xlfn.CONCAT(_xlfn.XLOOKUP("[S13_AnyOtherIssues][78][OtherInformationOrIssues]",Submission!$O:$O,Submission!$H:$N,""))</f>
        <v/>
      </c>
      <c r="F84" s="353"/>
      <c r="G84" s="353"/>
      <c r="H84" s="353"/>
      <c r="I84" s="260"/>
    </row>
    <row r="85" spans="1:9" ht="27" hidden="1" customHeight="1" outlineLevel="1" x14ac:dyDescent="0.3">
      <c r="C85" s="567"/>
      <c r="D85" s="161" t="str">
        <f>_xlfn.CONCAT(_xlfn.XLOOKUP("[S13_AnyOtherIssues][79][QuestionnaireSubQuestion]",Submission!$O:$O,Submission!$H:$N,""))</f>
        <v/>
      </c>
      <c r="E85" s="353" t="str">
        <f>_xlfn.CONCAT(_xlfn.XLOOKUP("[S13_AnyOtherIssues][79][OtherInformationOrIssues]",Submission!$O:$O,Submission!$H:$N,""))</f>
        <v/>
      </c>
      <c r="F85" s="353"/>
      <c r="G85" s="353"/>
      <c r="H85" s="353"/>
      <c r="I85" s="260"/>
    </row>
    <row r="86" spans="1:9" ht="27" customHeight="1" collapsed="1" x14ac:dyDescent="0.3">
      <c r="C86" s="565" t="s">
        <v>1375</v>
      </c>
      <c r="D86" s="161" t="str">
        <f>_xlfn.CONCAT(_xlfn.XLOOKUP("[S13_AnyOtherIssues][80][QuestionnaireSubQuestion]",Submission!$O:$O,Submission!$H:$N,""))</f>
        <v/>
      </c>
      <c r="E86" s="353" t="str">
        <f>_xlfn.CONCAT(_xlfn.XLOOKUP("[S13_AnyOtherIssues][80][OtherInformationOrIssues]",Submission!$O:$O,Submission!$H:$N,""))</f>
        <v/>
      </c>
      <c r="F86" s="353"/>
      <c r="G86" s="353"/>
      <c r="H86" s="353"/>
      <c r="I86" s="260"/>
    </row>
    <row r="87" spans="1:9" ht="27" customHeight="1" x14ac:dyDescent="0.3">
      <c r="C87" s="566"/>
      <c r="D87" s="161" t="str">
        <f>_xlfn.CONCAT(_xlfn.XLOOKUP("[S13_AnyOtherIssues][81][QuestionnaireSubQuestion]",Submission!$O:$O,Submission!$H:$N,""))</f>
        <v/>
      </c>
      <c r="E87" s="353" t="str">
        <f>_xlfn.CONCAT(_xlfn.XLOOKUP("[S13_AnyOtherIssues][81][OtherInformationOrIssues]",Submission!$O:$O,Submission!$H:$N,""))</f>
        <v/>
      </c>
      <c r="F87" s="353"/>
      <c r="G87" s="353"/>
      <c r="H87" s="353"/>
      <c r="I87" s="260"/>
    </row>
    <row r="88" spans="1:9" ht="27" hidden="1" customHeight="1" outlineLevel="1" x14ac:dyDescent="0.3">
      <c r="C88" s="566"/>
      <c r="D88" s="161" t="str">
        <f>_xlfn.CONCAT(_xlfn.XLOOKUP("[S13_AnyOtherIssues][82][QuestionnaireSubQuestion]",Submission!$O:$O,Submission!$H:$N,""))</f>
        <v/>
      </c>
      <c r="E88" s="353" t="str">
        <f>_xlfn.CONCAT(_xlfn.XLOOKUP("[S13_AnyOtherIssues][82][OtherInformationOrIssues]",Submission!$O:$O,Submission!$H:$N,""))</f>
        <v/>
      </c>
      <c r="F88" s="353"/>
      <c r="G88" s="353"/>
      <c r="H88" s="353"/>
      <c r="I88" s="260"/>
    </row>
    <row r="89" spans="1:9" ht="27" hidden="1" customHeight="1" outlineLevel="1" x14ac:dyDescent="0.3">
      <c r="C89" s="567"/>
      <c r="D89" s="161" t="str">
        <f>_xlfn.CONCAT(_xlfn.XLOOKUP("[S13_AnyOtherIssues][83][QuestionnaireSubQuestion]",Submission!$O:$O,Submission!$H:$N,""))</f>
        <v/>
      </c>
      <c r="E89" s="353" t="str">
        <f>_xlfn.CONCAT(_xlfn.XLOOKUP("[S13_AnyOtherIssues][83][OtherInformationOrIssues]",Submission!$O:$O,Submission!$H:$N,""))</f>
        <v/>
      </c>
      <c r="F89" s="353"/>
      <c r="G89" s="353"/>
      <c r="H89" s="353"/>
      <c r="I89" s="260"/>
    </row>
    <row r="90" spans="1:9" ht="27" customHeight="1" collapsed="1" x14ac:dyDescent="0.3">
      <c r="C90" s="382" t="s">
        <v>1376</v>
      </c>
      <c r="D90" s="161" t="str">
        <f>_xlfn.CONCAT(_xlfn.XLOOKUP("[S13_AnyOtherIssues][84][QuestionnaireSubQuestion]",Submission!$O:$O,Submission!$H:$N,""))</f>
        <v/>
      </c>
      <c r="E90" s="353" t="str">
        <f>_xlfn.CONCAT(_xlfn.XLOOKUP("[S13_AnyOtherIssues][84][OtherInformationOrIssues]",Submission!$O:$O,Submission!$H:$N,""))</f>
        <v/>
      </c>
      <c r="F90" s="353"/>
      <c r="G90" s="353"/>
      <c r="H90" s="353"/>
      <c r="I90" s="260"/>
    </row>
    <row r="91" spans="1:9" ht="27" customHeight="1" x14ac:dyDescent="0.3">
      <c r="C91" s="382"/>
      <c r="D91" s="161" t="str">
        <f>_xlfn.CONCAT(_xlfn.XLOOKUP("[S13_AnyOtherIssues][85][QuestionnaireSubQuestion]",Submission!$O:$O,Submission!$H:$N,""))</f>
        <v/>
      </c>
      <c r="E91" s="353" t="str">
        <f>_xlfn.CONCAT(_xlfn.XLOOKUP("[S13_AnyOtherIssues][85][OtherInformationOrIssues]",Submission!$O:$O,Submission!$H:$N,""))</f>
        <v/>
      </c>
      <c r="F91" s="353"/>
      <c r="G91" s="353"/>
      <c r="H91" s="353"/>
      <c r="I91" s="260"/>
    </row>
    <row r="92" spans="1:9" ht="27" hidden="1" customHeight="1" outlineLevel="1" x14ac:dyDescent="0.3">
      <c r="C92" s="382"/>
      <c r="D92" s="161" t="str">
        <f>_xlfn.CONCAT(_xlfn.XLOOKUP("[S13_AnyOtherIssues][86][QuestionnaireSubQuestion]",Submission!$O:$O,Submission!$H:$N,""))</f>
        <v/>
      </c>
      <c r="E92" s="369" t="str">
        <f>_xlfn.CONCAT(_xlfn.XLOOKUP("[S13_AnyOtherIssues][86][OtherInformationOrIssues]",Submission!$O:$O,Submission!$H:$N,""))</f>
        <v/>
      </c>
      <c r="F92" s="369"/>
      <c r="G92" s="369"/>
      <c r="H92" s="369"/>
      <c r="I92" s="259"/>
    </row>
    <row r="93" spans="1:9" ht="15.9" customHeight="1" collapsed="1" x14ac:dyDescent="0.3">
      <c r="C93" s="162" t="s">
        <v>1361</v>
      </c>
    </row>
    <row r="94" spans="1:9" ht="15.9" customHeight="1" x14ac:dyDescent="0.3"/>
    <row r="95" spans="1:9" ht="15.9" customHeight="1" x14ac:dyDescent="0.3">
      <c r="A95" s="12" t="s">
        <v>648</v>
      </c>
      <c r="B95" s="338" t="s">
        <v>1377</v>
      </c>
      <c r="C95" s="308"/>
      <c r="D95" s="308"/>
      <c r="E95" s="308"/>
      <c r="F95" s="308"/>
      <c r="G95" s="308"/>
      <c r="H95" s="345"/>
      <c r="I95" s="41" t="str">
        <f>_xlfn.CONCAT(_xlfn.XLOOKUP("[QuestionnaireFilledConfirmation][0][QuestionnaireFilledConfirmation]",Submission!$O:$O,Submission!$H:$N,""))</f>
        <v/>
      </c>
    </row>
    <row r="96" spans="1:9" ht="15.9" customHeight="1" x14ac:dyDescent="0.3">
      <c r="A96" s="13"/>
      <c r="B96" s="338" t="s">
        <v>1378</v>
      </c>
      <c r="C96" s="308"/>
      <c r="D96" s="308"/>
      <c r="E96" s="308"/>
      <c r="F96" s="308"/>
      <c r="G96" s="308"/>
      <c r="H96" s="308"/>
      <c r="I96" s="308"/>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15</v>
      </c>
      <c r="AL2">
        <f>IFERROR(MATCH("",$AL$3:$AL$19,0)-1,0)</f>
        <v>14</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MoE</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OTE</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CIZP</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Failure to announce true information regarding the compliance with conditions for the exclusion from the EU ETS according to Art 27a</v>
      </c>
      <c r="AL15" t="str">
        <f>'Q 10'!D158</f>
        <v>Failure to apply for the opening of an account in the EU Registry</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Failure to apply for the opening of an account in the EU Registry</v>
      </c>
      <c r="AL16" t="str">
        <f>'Q 10'!D159</f>
        <v>Failure to surrender or return emission allowances</v>
      </c>
      <c r="AM16" t="s">
        <v>1586</v>
      </c>
      <c r="AP16" s="153" t="s">
        <v>2217</v>
      </c>
      <c r="AQ16" s="153" t="s">
        <v>2264</v>
      </c>
      <c r="AR16" s="163">
        <v>44739</v>
      </c>
    </row>
    <row r="17" spans="3:44" x14ac:dyDescent="0.3">
      <c r="C17" t="s">
        <v>1587</v>
      </c>
      <c r="F17" t="str">
        <f>'Q 2'!D20</f>
        <v/>
      </c>
      <c r="I17" s="169" t="s">
        <v>1588</v>
      </c>
      <c r="J17" t="s">
        <v>1589</v>
      </c>
      <c r="V17" t="s">
        <v>1590</v>
      </c>
      <c r="AJ17" s="56"/>
      <c r="AK17" t="str">
        <f>'Q 10'!D34</f>
        <v>Failure to surrender or return emission allowances</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Ministry of the Environment of the Czech Republic</v>
      </c>
    </row>
    <row r="3" spans="1:21" x14ac:dyDescent="0.3">
      <c r="A3" t="s">
        <v>1738</v>
      </c>
      <c r="B3" t="s">
        <v>1739</v>
      </c>
      <c r="C3">
        <v>0</v>
      </c>
      <c r="D3" t="s">
        <v>1447</v>
      </c>
      <c r="E3" t="s">
        <v>1742</v>
      </c>
      <c r="F3" t="s">
        <v>1741</v>
      </c>
      <c r="G3" t="str">
        <f>IF(ISBLANK('Q 1'!E6),"",IF('Q 1'!E6="&lt;please select&gt;","",'Q 1'!E6))</f>
        <v>Jan Tuma</v>
      </c>
    </row>
    <row r="4" spans="1:21" x14ac:dyDescent="0.3">
      <c r="A4" t="s">
        <v>1738</v>
      </c>
      <c r="B4" t="s">
        <v>1739</v>
      </c>
      <c r="C4">
        <v>0</v>
      </c>
      <c r="D4" t="s">
        <v>1447</v>
      </c>
      <c r="E4" t="s">
        <v>1743</v>
      </c>
      <c r="F4" t="s">
        <v>1741</v>
      </c>
      <c r="G4" t="str">
        <f>IF(ISBLANK('Q 1'!E7),"",IF('Q 1'!E7="&lt;please select&gt;","",'Q 1'!E7))</f>
        <v>Head of Emission Trading Unit</v>
      </c>
    </row>
    <row r="5" spans="1:21" x14ac:dyDescent="0.3">
      <c r="A5" t="s">
        <v>1738</v>
      </c>
      <c r="B5" t="s">
        <v>1739</v>
      </c>
      <c r="C5">
        <v>0</v>
      </c>
      <c r="D5" t="s">
        <v>1447</v>
      </c>
      <c r="E5" t="s">
        <v>1744</v>
      </c>
      <c r="F5" t="s">
        <v>1741</v>
      </c>
      <c r="G5" t="str">
        <f>IF(ISBLANK('Q 1'!E8),"",IF('Q 1'!E8="&lt;please select&gt;","",'Q 1'!E8))</f>
        <v>Vrsovicka 65, Praha 10, 100 10</v>
      </c>
    </row>
    <row r="6" spans="1:21" x14ac:dyDescent="0.3">
      <c r="A6" t="s">
        <v>1738</v>
      </c>
      <c r="B6" t="s">
        <v>1739</v>
      </c>
      <c r="C6">
        <v>0</v>
      </c>
      <c r="D6" t="s">
        <v>1447</v>
      </c>
      <c r="E6" t="s">
        <v>1745</v>
      </c>
      <c r="F6" t="s">
        <v>1741</v>
      </c>
      <c r="G6" t="str">
        <f>IF(ISBLANK('Q 1'!E9),"",IF('Q 1'!E9="&lt;please select&gt;","",'Q 1'!E9))</f>
        <v>420267122360</v>
      </c>
    </row>
    <row r="7" spans="1:21" x14ac:dyDescent="0.3">
      <c r="A7" t="s">
        <v>1738</v>
      </c>
      <c r="B7" t="s">
        <v>1739</v>
      </c>
      <c r="C7">
        <v>0</v>
      </c>
      <c r="D7" t="s">
        <v>1447</v>
      </c>
      <c r="E7" t="s">
        <v>1746</v>
      </c>
      <c r="F7" t="s">
        <v>1741</v>
      </c>
      <c r="G7" t="str">
        <f>IF(ISBLANK('Q 1'!E10),"",IF('Q 1'!E10="&lt;please select&gt;","",'Q 1'!E10))</f>
        <v>jan.tuma@mzp.cz</v>
      </c>
    </row>
    <row r="8" spans="1:21" x14ac:dyDescent="0.3">
      <c r="A8" t="s">
        <v>1738</v>
      </c>
      <c r="B8" t="s">
        <v>1739</v>
      </c>
      <c r="C8">
        <v>0</v>
      </c>
      <c r="D8" t="s">
        <v>1447</v>
      </c>
      <c r="E8" t="s">
        <v>1747</v>
      </c>
      <c r="F8" t="s">
        <v>1748</v>
      </c>
      <c r="H8" t="str">
        <f>IF(ISBLANK('Q 1'!E11),"",IF('Q 1'!E11="&lt;please select&gt;","",'Q 1'!E11))</f>
        <v>2021</v>
      </c>
    </row>
    <row r="9" spans="1:21" x14ac:dyDescent="0.3">
      <c r="A9" t="s">
        <v>1749</v>
      </c>
      <c r="B9" t="s">
        <v>1750</v>
      </c>
      <c r="C9">
        <v>1</v>
      </c>
      <c r="D9" t="s">
        <v>1447</v>
      </c>
      <c r="E9" t="s">
        <v>1751</v>
      </c>
      <c r="F9" t="s">
        <v>1741</v>
      </c>
      <c r="G9" t="str">
        <f>IF(ISBLANK('Q 2'!C7),"",IF('Q 2'!C7="&lt;please select&gt;","",'Q 2'!C7))</f>
        <v>Ministry of the Environment</v>
      </c>
    </row>
    <row r="10" spans="1:21" x14ac:dyDescent="0.3">
      <c r="A10" t="s">
        <v>1749</v>
      </c>
      <c r="B10" t="s">
        <v>1750</v>
      </c>
      <c r="C10">
        <v>2</v>
      </c>
      <c r="D10" t="s">
        <v>1447</v>
      </c>
      <c r="E10" t="s">
        <v>1751</v>
      </c>
      <c r="F10" t="s">
        <v>1741</v>
      </c>
      <c r="G10" t="str">
        <f>IF(ISBLANK('Q 2'!C8),"",IF('Q 2'!C8="&lt;please select&gt;","",'Q 2'!C8))</f>
        <v>OTE, a.s.</v>
      </c>
    </row>
    <row r="11" spans="1:21" x14ac:dyDescent="0.3">
      <c r="A11" t="s">
        <v>1749</v>
      </c>
      <c r="B11" t="s">
        <v>1750</v>
      </c>
      <c r="C11">
        <v>3</v>
      </c>
      <c r="D11" t="s">
        <v>1447</v>
      </c>
      <c r="E11" t="s">
        <v>1751</v>
      </c>
      <c r="F11" t="s">
        <v>1741</v>
      </c>
      <c r="G11" t="str">
        <f>IF(ISBLANK('Q 2'!C9),"",IF('Q 2'!C9="&lt;please select&gt;","",'Q 2'!C9))</f>
        <v>Czech Environmental Inspectorate</v>
      </c>
    </row>
    <row r="12" spans="1:21" x14ac:dyDescent="0.3">
      <c r="A12" t="s">
        <v>1749</v>
      </c>
      <c r="B12" t="s">
        <v>1750</v>
      </c>
      <c r="C12">
        <v>4</v>
      </c>
      <c r="D12" t="s">
        <v>1447</v>
      </c>
      <c r="E12" t="s">
        <v>1751</v>
      </c>
      <c r="F12" t="s">
        <v>1741</v>
      </c>
      <c r="G12" t="str">
        <f>IF(ISBLANK('Q 2'!C10),"",IF('Q 2'!C10="&lt;please select&gt;","",'Q 2'!C10))</f>
        <v/>
      </c>
    </row>
    <row r="13" spans="1:21" x14ac:dyDescent="0.3">
      <c r="A13" t="s">
        <v>1749</v>
      </c>
      <c r="B13" t="s">
        <v>1750</v>
      </c>
      <c r="C13">
        <v>5</v>
      </c>
      <c r="D13" t="s">
        <v>1447</v>
      </c>
      <c r="E13" t="s">
        <v>1751</v>
      </c>
      <c r="F13" t="s">
        <v>1741</v>
      </c>
      <c r="G13" t="str">
        <f>IF(ISBLANK('Q 2'!C11),"",IF('Q 2'!C11="&lt;please select&gt;","",'Q 2'!C11))</f>
        <v/>
      </c>
    </row>
    <row r="14" spans="1:21" x14ac:dyDescent="0.3">
      <c r="A14" t="s">
        <v>1749</v>
      </c>
      <c r="B14" t="s">
        <v>1750</v>
      </c>
      <c r="C14">
        <v>6</v>
      </c>
      <c r="D14" t="s">
        <v>1447</v>
      </c>
      <c r="E14" t="s">
        <v>1751</v>
      </c>
      <c r="F14" t="s">
        <v>1741</v>
      </c>
      <c r="G14" t="str">
        <f>IF(ISBLANK('Q 2'!C12),"",IF('Q 2'!C12="&lt;please select&gt;","",'Q 2'!C12))</f>
        <v/>
      </c>
    </row>
    <row r="15" spans="1:21" x14ac:dyDescent="0.3">
      <c r="A15" t="s">
        <v>1749</v>
      </c>
      <c r="B15" t="s">
        <v>1750</v>
      </c>
      <c r="C15">
        <v>7</v>
      </c>
      <c r="D15" t="s">
        <v>1447</v>
      </c>
      <c r="E15" t="s">
        <v>1751</v>
      </c>
      <c r="F15" t="s">
        <v>1741</v>
      </c>
      <c r="G15" t="str">
        <f>IF(ISBLANK('Q 2'!C13),"",IF('Q 2'!C13="&lt;please select&gt;","",'Q 2'!C13))</f>
        <v/>
      </c>
    </row>
    <row r="16" spans="1:21" x14ac:dyDescent="0.3">
      <c r="A16" t="s">
        <v>1749</v>
      </c>
      <c r="B16" t="s">
        <v>1750</v>
      </c>
      <c r="C16">
        <v>8</v>
      </c>
      <c r="D16" t="s">
        <v>1447</v>
      </c>
      <c r="E16" t="s">
        <v>1751</v>
      </c>
      <c r="F16" t="s">
        <v>1741</v>
      </c>
      <c r="G16" t="str">
        <f>IF(ISBLANK('Q 2'!C14),"",IF('Q 2'!C14="&lt;please select&gt;","",'Q 2'!C14))</f>
        <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MoE</v>
      </c>
    </row>
    <row r="32" spans="1:7" x14ac:dyDescent="0.3">
      <c r="A32" t="s">
        <v>1749</v>
      </c>
      <c r="B32" t="s">
        <v>1750</v>
      </c>
      <c r="C32">
        <v>2</v>
      </c>
      <c r="D32" t="s">
        <v>1447</v>
      </c>
      <c r="E32" t="s">
        <v>1752</v>
      </c>
      <c r="F32" t="s">
        <v>1741</v>
      </c>
      <c r="G32" t="str">
        <f>IF(ISBLANK('Q 2'!D8),"",IF('Q 2'!D8="&lt;please select&gt;","",'Q 2'!D8))</f>
        <v>OTE</v>
      </c>
    </row>
    <row r="33" spans="1:7" x14ac:dyDescent="0.3">
      <c r="A33" t="s">
        <v>1749</v>
      </c>
      <c r="B33" t="s">
        <v>1750</v>
      </c>
      <c r="C33">
        <v>3</v>
      </c>
      <c r="D33" t="s">
        <v>1447</v>
      </c>
      <c r="E33" t="s">
        <v>1752</v>
      </c>
      <c r="F33" t="s">
        <v>1741</v>
      </c>
      <c r="G33" t="str">
        <f>IF(ISBLANK('Q 2'!D9),"",IF('Q 2'!D9="&lt;please select&gt;","",'Q 2'!D9))</f>
        <v>CIZP</v>
      </c>
    </row>
    <row r="34" spans="1:7" x14ac:dyDescent="0.3">
      <c r="A34" t="s">
        <v>1749</v>
      </c>
      <c r="B34" t="s">
        <v>1750</v>
      </c>
      <c r="C34">
        <v>4</v>
      </c>
      <c r="D34" t="s">
        <v>1447</v>
      </c>
      <c r="E34" t="s">
        <v>1752</v>
      </c>
      <c r="F34" t="s">
        <v>1741</v>
      </c>
      <c r="G34" t="str">
        <f>IF(ISBLANK('Q 2'!D10),"",IF('Q 2'!D10="&lt;please select&gt;","",'Q 2'!D10))</f>
        <v/>
      </c>
    </row>
    <row r="35" spans="1:7" x14ac:dyDescent="0.3">
      <c r="A35" t="s">
        <v>1749</v>
      </c>
      <c r="B35" t="s">
        <v>1750</v>
      </c>
      <c r="C35">
        <v>5</v>
      </c>
      <c r="D35" t="s">
        <v>1447</v>
      </c>
      <c r="E35" t="s">
        <v>1752</v>
      </c>
      <c r="F35" t="s">
        <v>1741</v>
      </c>
      <c r="G35" t="str">
        <f>IF(ISBLANK('Q 2'!D11),"",IF('Q 2'!D11="&lt;please select&gt;","",'Q 2'!D11))</f>
        <v/>
      </c>
    </row>
    <row r="36" spans="1:7" x14ac:dyDescent="0.3">
      <c r="A36" t="s">
        <v>1749</v>
      </c>
      <c r="B36" t="s">
        <v>1750</v>
      </c>
      <c r="C36">
        <v>6</v>
      </c>
      <c r="D36" t="s">
        <v>1447</v>
      </c>
      <c r="E36" t="s">
        <v>1752</v>
      </c>
      <c r="F36" t="s">
        <v>1741</v>
      </c>
      <c r="G36" t="str">
        <f>IF(ISBLANK('Q 2'!D12),"",IF('Q 2'!D12="&lt;please select&gt;","",'Q 2'!D12))</f>
        <v/>
      </c>
    </row>
    <row r="37" spans="1:7" x14ac:dyDescent="0.3">
      <c r="A37" t="s">
        <v>1749</v>
      </c>
      <c r="B37" t="s">
        <v>1750</v>
      </c>
      <c r="C37">
        <v>7</v>
      </c>
      <c r="D37" t="s">
        <v>1447</v>
      </c>
      <c r="E37" t="s">
        <v>1752</v>
      </c>
      <c r="F37" t="s">
        <v>1741</v>
      </c>
      <c r="G37" t="str">
        <f>IF(ISBLANK('Q 2'!D13),"",IF('Q 2'!D13="&lt;please select&gt;","",'Q 2'!D13))</f>
        <v/>
      </c>
    </row>
    <row r="38" spans="1:7" x14ac:dyDescent="0.3">
      <c r="A38" t="s">
        <v>1749</v>
      </c>
      <c r="B38" t="s">
        <v>1750</v>
      </c>
      <c r="C38">
        <v>8</v>
      </c>
      <c r="D38" t="s">
        <v>1447</v>
      </c>
      <c r="E38" t="s">
        <v>1752</v>
      </c>
      <c r="F38" t="s">
        <v>1741</v>
      </c>
      <c r="G38" t="str">
        <f>IF(ISBLANK('Q 2'!D14),"",IF('Q 2'!D14="&lt;please select&gt;","",'Q 2'!D14))</f>
        <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Other</v>
      </c>
    </row>
    <row r="55" spans="1:7" x14ac:dyDescent="0.3">
      <c r="A55" t="s">
        <v>1749</v>
      </c>
      <c r="B55" t="s">
        <v>1750</v>
      </c>
      <c r="C55">
        <v>3</v>
      </c>
      <c r="D55" t="s">
        <v>1447</v>
      </c>
      <c r="E55" t="s">
        <v>1753</v>
      </c>
      <c r="F55" t="s">
        <v>1741</v>
      </c>
      <c r="G55" t="str">
        <f>IF(ISBLANK('Q 2'!E9),"",IF('Q 2'!E9="&lt;please select&gt;","",'Q 2'!E9))</f>
        <v>Other</v>
      </c>
    </row>
    <row r="56" spans="1:7" x14ac:dyDescent="0.3">
      <c r="A56" t="s">
        <v>1749</v>
      </c>
      <c r="B56" t="s">
        <v>1750</v>
      </c>
      <c r="C56">
        <v>4</v>
      </c>
      <c r="D56" t="s">
        <v>1447</v>
      </c>
      <c r="E56" t="s">
        <v>1753</v>
      </c>
      <c r="F56" t="s">
        <v>1741</v>
      </c>
      <c r="G56" t="str">
        <f>IF(ISBLANK('Q 2'!E10),"",IF('Q 2'!E10="&lt;please select&gt;","",'Q 2'!E10))</f>
        <v/>
      </c>
    </row>
    <row r="57" spans="1:7" x14ac:dyDescent="0.3">
      <c r="A57" t="s">
        <v>1749</v>
      </c>
      <c r="B57" t="s">
        <v>1750</v>
      </c>
      <c r="C57">
        <v>5</v>
      </c>
      <c r="D57" t="s">
        <v>1447</v>
      </c>
      <c r="E57" t="s">
        <v>1753</v>
      </c>
      <c r="F57" t="s">
        <v>1741</v>
      </c>
      <c r="G57" t="str">
        <f>IF(ISBLANK('Q 2'!E11),"",IF('Q 2'!E11="&lt;please select&gt;","",'Q 2'!E11))</f>
        <v/>
      </c>
    </row>
    <row r="58" spans="1:7" x14ac:dyDescent="0.3">
      <c r="A58" t="s">
        <v>1749</v>
      </c>
      <c r="B58" t="s">
        <v>1750</v>
      </c>
      <c r="C58">
        <v>6</v>
      </c>
      <c r="D58" t="s">
        <v>1447</v>
      </c>
      <c r="E58" t="s">
        <v>1753</v>
      </c>
      <c r="F58" t="s">
        <v>1741</v>
      </c>
      <c r="G58" t="str">
        <f>IF(ISBLANK('Q 2'!E12),"",IF('Q 2'!E12="&lt;please select&gt;","",'Q 2'!E12))</f>
        <v/>
      </c>
    </row>
    <row r="59" spans="1:7" x14ac:dyDescent="0.3">
      <c r="A59" t="s">
        <v>1749</v>
      </c>
      <c r="B59" t="s">
        <v>1750</v>
      </c>
      <c r="C59">
        <v>7</v>
      </c>
      <c r="D59" t="s">
        <v>1447</v>
      </c>
      <c r="E59" t="s">
        <v>1753</v>
      </c>
      <c r="F59" t="s">
        <v>1741</v>
      </c>
      <c r="G59" t="str">
        <f>IF(ISBLANK('Q 2'!E13),"",IF('Q 2'!E13="&lt;please select&gt;","",'Q 2'!E13))</f>
        <v/>
      </c>
    </row>
    <row r="60" spans="1:7" x14ac:dyDescent="0.3">
      <c r="A60" t="s">
        <v>1749</v>
      </c>
      <c r="B60" t="s">
        <v>1750</v>
      </c>
      <c r="C60">
        <v>8</v>
      </c>
      <c r="D60" t="s">
        <v>1447</v>
      </c>
      <c r="E60" t="s">
        <v>1753</v>
      </c>
      <c r="F60" t="s">
        <v>1741</v>
      </c>
      <c r="G60" t="str">
        <f>IF(ISBLANK('Q 2'!E14),"",IF('Q 2'!E14="&lt;please select&gt;","",'Q 2'!E14))</f>
        <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1</v>
      </c>
    </row>
    <row r="76" spans="1:7" x14ac:dyDescent="0.3">
      <c r="A76" t="s">
        <v>1749</v>
      </c>
      <c r="B76" t="s">
        <v>1750</v>
      </c>
      <c r="C76">
        <v>2</v>
      </c>
      <c r="D76" t="s">
        <v>1447</v>
      </c>
      <c r="E76" t="s">
        <v>1754</v>
      </c>
      <c r="F76" t="s">
        <v>1741</v>
      </c>
      <c r="G76" s="165" t="str">
        <f>IF(ISBLANK('Q 2'!F8),"",IF('Q 2'!F8="&lt;please select&gt;","",'Q 2'!F8))</f>
        <v>1</v>
      </c>
    </row>
    <row r="77" spans="1:7" x14ac:dyDescent="0.3">
      <c r="A77" t="s">
        <v>1749</v>
      </c>
      <c r="B77" t="s">
        <v>1750</v>
      </c>
      <c r="C77">
        <v>3</v>
      </c>
      <c r="D77" t="s">
        <v>1447</v>
      </c>
      <c r="E77" t="s">
        <v>1754</v>
      </c>
      <c r="F77" t="s">
        <v>1741</v>
      </c>
      <c r="G77" s="165" t="str">
        <f>IF(ISBLANK('Q 2'!F9),"",IF('Q 2'!F9="&lt;please select&gt;","",'Q 2'!F9))</f>
        <v>1</v>
      </c>
    </row>
    <row r="78" spans="1:7" x14ac:dyDescent="0.3">
      <c r="A78" t="s">
        <v>1749</v>
      </c>
      <c r="B78" t="s">
        <v>1750</v>
      </c>
      <c r="C78">
        <v>4</v>
      </c>
      <c r="D78" t="s">
        <v>1447</v>
      </c>
      <c r="E78" t="s">
        <v>1754</v>
      </c>
      <c r="F78" t="s">
        <v>1741</v>
      </c>
      <c r="G78" s="165" t="str">
        <f>IF(ISBLANK('Q 2'!F10),"",IF('Q 2'!F10="&lt;please select&gt;","",'Q 2'!F10))</f>
        <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420267121111</v>
      </c>
    </row>
    <row r="98" spans="1:7" x14ac:dyDescent="0.3">
      <c r="A98" t="s">
        <v>1749</v>
      </c>
      <c r="B98" t="s">
        <v>1750</v>
      </c>
      <c r="C98">
        <v>2</v>
      </c>
      <c r="D98" t="s">
        <v>1447</v>
      </c>
      <c r="E98" t="s">
        <v>1755</v>
      </c>
      <c r="F98" t="s">
        <v>1741</v>
      </c>
      <c r="G98" t="str">
        <f>IF(ISBLANK('Q 2'!G8),"",IF('Q 2'!G8="&lt;please select&gt;","",'Q 2'!G8))</f>
        <v>420296579332</v>
      </c>
    </row>
    <row r="99" spans="1:7" x14ac:dyDescent="0.3">
      <c r="A99" t="s">
        <v>1749</v>
      </c>
      <c r="B99" t="s">
        <v>1750</v>
      </c>
      <c r="C99">
        <v>3</v>
      </c>
      <c r="D99" t="s">
        <v>1447</v>
      </c>
      <c r="E99" t="s">
        <v>1755</v>
      </c>
      <c r="F99" t="s">
        <v>1741</v>
      </c>
      <c r="G99" t="str">
        <f>IF(ISBLANK('Q 2'!G9),"",IF('Q 2'!G9="&lt;please select&gt;","",'Q 2'!G9))</f>
        <v>420222860111</v>
      </c>
    </row>
    <row r="100" spans="1:7" x14ac:dyDescent="0.3">
      <c r="A100" t="s">
        <v>1749</v>
      </c>
      <c r="B100" t="s">
        <v>1750</v>
      </c>
      <c r="C100">
        <v>4</v>
      </c>
      <c r="D100" t="s">
        <v>1447</v>
      </c>
      <c r="E100" t="s">
        <v>1755</v>
      </c>
      <c r="F100" t="s">
        <v>1741</v>
      </c>
      <c r="G100" t="str">
        <f>IF(ISBLANK('Q 2'!G10),"",IF('Q 2'!G10="&lt;please select&gt;","",'Q 2'!G10))</f>
        <v/>
      </c>
    </row>
    <row r="101" spans="1:7" x14ac:dyDescent="0.3">
      <c r="A101" t="s">
        <v>1749</v>
      </c>
      <c r="B101" t="s">
        <v>1750</v>
      </c>
      <c r="C101">
        <v>5</v>
      </c>
      <c r="D101" t="s">
        <v>1447</v>
      </c>
      <c r="E101" t="s">
        <v>1755</v>
      </c>
      <c r="F101" t="s">
        <v>1741</v>
      </c>
      <c r="G101" t="str">
        <f>IF(ISBLANK('Q 2'!G11),"",IF('Q 2'!G11="&lt;please select&gt;","",'Q 2'!G11))</f>
        <v/>
      </c>
    </row>
    <row r="102" spans="1:7" x14ac:dyDescent="0.3">
      <c r="A102" t="s">
        <v>1749</v>
      </c>
      <c r="B102" t="s">
        <v>1750</v>
      </c>
      <c r="C102">
        <v>6</v>
      </c>
      <c r="D102" t="s">
        <v>1447</v>
      </c>
      <c r="E102" t="s">
        <v>1755</v>
      </c>
      <c r="F102" t="s">
        <v>1741</v>
      </c>
      <c r="G102" t="str">
        <f>IF(ISBLANK('Q 2'!G12),"",IF('Q 2'!G12="&lt;please select&gt;","",'Q 2'!G12))</f>
        <v/>
      </c>
    </row>
    <row r="103" spans="1:7" x14ac:dyDescent="0.3">
      <c r="A103" t="s">
        <v>1749</v>
      </c>
      <c r="B103" t="s">
        <v>1750</v>
      </c>
      <c r="C103">
        <v>7</v>
      </c>
      <c r="D103" t="s">
        <v>1447</v>
      </c>
      <c r="E103" t="s">
        <v>1755</v>
      </c>
      <c r="F103" t="s">
        <v>1741</v>
      </c>
      <c r="G103" t="str">
        <f>IF(ISBLANK('Q 2'!G13),"",IF('Q 2'!G13="&lt;please select&gt;","",'Q 2'!G13))</f>
        <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info@mzp.cz</v>
      </c>
    </row>
    <row r="120" spans="1:7" x14ac:dyDescent="0.3">
      <c r="A120" t="s">
        <v>1749</v>
      </c>
      <c r="B120" t="s">
        <v>1750</v>
      </c>
      <c r="C120">
        <v>2</v>
      </c>
      <c r="D120" t="s">
        <v>1447</v>
      </c>
      <c r="E120" t="s">
        <v>1756</v>
      </c>
      <c r="F120" t="s">
        <v>1741</v>
      </c>
      <c r="G120" t="str">
        <f>IF(ISBLANK('Q 2'!H8),"",IF('Q 2'!H8="&lt;please select&gt;","",'Q 2'!H8))</f>
        <v>povolenky@ote-cr.cz</v>
      </c>
    </row>
    <row r="121" spans="1:7" x14ac:dyDescent="0.3">
      <c r="A121" t="s">
        <v>1749</v>
      </c>
      <c r="B121" t="s">
        <v>1750</v>
      </c>
      <c r="C121">
        <v>3</v>
      </c>
      <c r="D121" t="s">
        <v>1447</v>
      </c>
      <c r="E121" t="s">
        <v>1756</v>
      </c>
      <c r="F121" t="s">
        <v>1741</v>
      </c>
      <c r="G121" t="str">
        <f>IF(ISBLANK('Q 2'!H9),"",IF('Q 2'!H9="&lt;please select&gt;","",'Q 2'!H9))</f>
        <v>podatelna@cizp.cz</v>
      </c>
    </row>
    <row r="122" spans="1:7" x14ac:dyDescent="0.3">
      <c r="A122" t="s">
        <v>1749</v>
      </c>
      <c r="B122" t="s">
        <v>1750</v>
      </c>
      <c r="C122">
        <v>4</v>
      </c>
      <c r="D122" t="s">
        <v>1447</v>
      </c>
      <c r="E122" t="s">
        <v>1756</v>
      </c>
      <c r="F122" t="s">
        <v>1741</v>
      </c>
      <c r="G122" t="str">
        <f>IF(ISBLANK('Q 2'!H10),"",IF('Q 2'!H10="&lt;please select&gt;","",'Q 2'!H10))</f>
        <v/>
      </c>
    </row>
    <row r="123" spans="1:7" x14ac:dyDescent="0.3">
      <c r="A123" t="s">
        <v>1749</v>
      </c>
      <c r="B123" t="s">
        <v>1750</v>
      </c>
      <c r="C123">
        <v>5</v>
      </c>
      <c r="D123" t="s">
        <v>1447</v>
      </c>
      <c r="E123" t="s">
        <v>1756</v>
      </c>
      <c r="F123" t="s">
        <v>1741</v>
      </c>
      <c r="G123" t="str">
        <f>IF(ISBLANK('Q 2'!H11),"",IF('Q 2'!H11="&lt;please select&gt;","",'Q 2'!H11))</f>
        <v/>
      </c>
    </row>
    <row r="124" spans="1:7" x14ac:dyDescent="0.3">
      <c r="A124" t="s">
        <v>1749</v>
      </c>
      <c r="B124" t="s">
        <v>1750</v>
      </c>
      <c r="C124">
        <v>6</v>
      </c>
      <c r="D124" t="s">
        <v>1447</v>
      </c>
      <c r="E124" t="s">
        <v>1756</v>
      </c>
      <c r="F124" t="s">
        <v>1741</v>
      </c>
      <c r="G124" t="str">
        <f>IF(ISBLANK('Q 2'!H12),"",IF('Q 2'!H12="&lt;please select&gt;","",'Q 2'!H12))</f>
        <v/>
      </c>
    </row>
    <row r="125" spans="1:7" x14ac:dyDescent="0.3">
      <c r="A125" t="s">
        <v>1749</v>
      </c>
      <c r="B125" t="s">
        <v>1750</v>
      </c>
      <c r="C125">
        <v>7</v>
      </c>
      <c r="D125" t="s">
        <v>1447</v>
      </c>
      <c r="E125" t="s">
        <v>1756</v>
      </c>
      <c r="F125" t="s">
        <v>1741</v>
      </c>
      <c r="G125" t="str">
        <f>IF(ISBLANK('Q 2'!H13),"",IF('Q 2'!H13="&lt;please select&gt;","",'Q 2'!H13))</f>
        <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www.mzp.cz/en/</v>
      </c>
    </row>
    <row r="142" spans="1:7" x14ac:dyDescent="0.3">
      <c r="A142" t="s">
        <v>1749</v>
      </c>
      <c r="B142" t="s">
        <v>1750</v>
      </c>
      <c r="C142">
        <v>2</v>
      </c>
      <c r="D142" t="s">
        <v>1447</v>
      </c>
      <c r="E142" t="s">
        <v>1757</v>
      </c>
      <c r="F142" t="s">
        <v>1741</v>
      </c>
      <c r="G142" t="str">
        <f>IF(ISBLANK('Q 2'!I8),"",IF('Q 2'!I8="&lt;please select&gt;","",'Q 2'!I8))</f>
        <v>www.povolenky.cz</v>
      </c>
    </row>
    <row r="143" spans="1:7" x14ac:dyDescent="0.3">
      <c r="A143" t="s">
        <v>1749</v>
      </c>
      <c r="B143" t="s">
        <v>1750</v>
      </c>
      <c r="C143">
        <v>3</v>
      </c>
      <c r="D143" t="s">
        <v>1447</v>
      </c>
      <c r="E143" t="s">
        <v>1757</v>
      </c>
      <c r="F143" t="s">
        <v>1741</v>
      </c>
      <c r="G143" t="str">
        <f>IF(ISBLANK('Q 2'!I9),"",IF('Q 2'!I9="&lt;please select&gt;","",'Q 2'!I9))</f>
        <v>www.cizp.cz</v>
      </c>
    </row>
    <row r="144" spans="1:7" x14ac:dyDescent="0.3">
      <c r="A144" t="s">
        <v>1749</v>
      </c>
      <c r="B144" t="s">
        <v>1750</v>
      </c>
      <c r="C144">
        <v>4</v>
      </c>
      <c r="D144" t="s">
        <v>1447</v>
      </c>
      <c r="E144" t="s">
        <v>1757</v>
      </c>
      <c r="F144" t="s">
        <v>1741</v>
      </c>
      <c r="G144" t="str">
        <f>IF(ISBLANK('Q 2'!I10),"",IF('Q 2'!I10="&lt;please select&gt;","",'Q 2'!I10))</f>
        <v/>
      </c>
    </row>
    <row r="145" spans="1:7" x14ac:dyDescent="0.3">
      <c r="A145" t="s">
        <v>1749</v>
      </c>
      <c r="B145" t="s">
        <v>1750</v>
      </c>
      <c r="C145">
        <v>5</v>
      </c>
      <c r="D145" t="s">
        <v>1447</v>
      </c>
      <c r="E145" t="s">
        <v>1757</v>
      </c>
      <c r="F145" t="s">
        <v>1741</v>
      </c>
      <c r="G145" t="str">
        <f>IF(ISBLANK('Q 2'!I11),"",IF('Q 2'!I11="&lt;please select&gt;","",'Q 2'!I11))</f>
        <v/>
      </c>
    </row>
    <row r="146" spans="1:7" x14ac:dyDescent="0.3">
      <c r="A146" t="s">
        <v>1749</v>
      </c>
      <c r="B146" t="s">
        <v>1750</v>
      </c>
      <c r="C146">
        <v>6</v>
      </c>
      <c r="D146" t="s">
        <v>1447</v>
      </c>
      <c r="E146" t="s">
        <v>1757</v>
      </c>
      <c r="F146" t="s">
        <v>1741</v>
      </c>
      <c r="G146" t="str">
        <f>IF(ISBLANK('Q 2'!I12),"",IF('Q 2'!I12="&lt;please select&gt;","",'Q 2'!I12))</f>
        <v/>
      </c>
    </row>
    <row r="147" spans="1:7" x14ac:dyDescent="0.3">
      <c r="A147" t="s">
        <v>1749</v>
      </c>
      <c r="B147" t="s">
        <v>1750</v>
      </c>
      <c r="C147">
        <v>7</v>
      </c>
      <c r="D147" t="s">
        <v>1447</v>
      </c>
      <c r="E147" t="s">
        <v>1757</v>
      </c>
      <c r="F147" t="s">
        <v>1741</v>
      </c>
      <c r="G147" t="str">
        <f>IF(ISBLANK('Q 2'!I13),"",IF('Q 2'!I13="&lt;please select&gt;","",'Q 2'!I13))</f>
        <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Yes</v>
      </c>
    </row>
    <row r="164" spans="1:11" x14ac:dyDescent="0.3">
      <c r="A164" t="s">
        <v>1749</v>
      </c>
      <c r="B164" t="s">
        <v>1760</v>
      </c>
      <c r="C164">
        <v>1</v>
      </c>
      <c r="D164" t="s">
        <v>1447</v>
      </c>
      <c r="E164" t="s">
        <v>1761</v>
      </c>
      <c r="F164" t="s">
        <v>1741</v>
      </c>
      <c r="G164" t="str">
        <f>IF(ISBLANK('Q 2'!C39),"",IF('Q 2'!C39="&lt;please select&gt;","",'Q 2'!C39))</f>
        <v>Czech Accreditation Institute</v>
      </c>
    </row>
    <row r="165" spans="1:11" x14ac:dyDescent="0.3">
      <c r="A165" t="s">
        <v>1749</v>
      </c>
      <c r="B165" t="s">
        <v>1760</v>
      </c>
      <c r="C165">
        <v>1</v>
      </c>
      <c r="D165" t="s">
        <v>1447</v>
      </c>
      <c r="E165" t="s">
        <v>1762</v>
      </c>
      <c r="F165" t="s">
        <v>1741</v>
      </c>
      <c r="G165" t="str">
        <f>IF(ISBLANK('Q 2'!E39),"",IF('Q 2'!E39="&lt;please select&gt;","",'Q 2'!E39))</f>
        <v>CAI</v>
      </c>
    </row>
    <row r="166" spans="1:11" x14ac:dyDescent="0.3">
      <c r="A166" t="s">
        <v>1749</v>
      </c>
      <c r="B166" t="s">
        <v>1760</v>
      </c>
      <c r="C166">
        <v>1</v>
      </c>
      <c r="D166" t="s">
        <v>1447</v>
      </c>
      <c r="E166" t="s">
        <v>1763</v>
      </c>
      <c r="F166" t="s">
        <v>1741</v>
      </c>
      <c r="G166" t="str">
        <f>IF(ISBLANK('Q 2'!F39),"",IF('Q 2'!F39="&lt;please select&gt;","",'Q 2'!F39))</f>
        <v>420272096222</v>
      </c>
    </row>
    <row r="167" spans="1:11" x14ac:dyDescent="0.3">
      <c r="A167" t="s">
        <v>1749</v>
      </c>
      <c r="B167" t="s">
        <v>1760</v>
      </c>
      <c r="C167">
        <v>1</v>
      </c>
      <c r="D167" t="s">
        <v>1447</v>
      </c>
      <c r="E167" t="s">
        <v>1764</v>
      </c>
      <c r="F167" t="s">
        <v>1741</v>
      </c>
      <c r="G167" t="str">
        <f>IF(ISBLANK('Q 2'!G39),"",IF('Q 2'!G39="&lt;please select&gt;","",'Q 2'!G39))</f>
        <v>mail@cai.cz</v>
      </c>
    </row>
    <row r="168" spans="1:11" x14ac:dyDescent="0.3">
      <c r="A168" t="s">
        <v>1749</v>
      </c>
      <c r="B168" t="s">
        <v>1760</v>
      </c>
      <c r="C168">
        <v>1</v>
      </c>
      <c r="D168" t="s">
        <v>1447</v>
      </c>
      <c r="E168" t="s">
        <v>1765</v>
      </c>
      <c r="F168" t="s">
        <v>1741</v>
      </c>
      <c r="G168" t="str">
        <f>IF(ISBLANK('Q 2'!H39),"",IF('Q 2'!H39="&lt;please select&gt;","",'Q 2'!H39))</f>
        <v>www.cia.cz/en/</v>
      </c>
    </row>
    <row r="169" spans="1:11" x14ac:dyDescent="0.3">
      <c r="A169" t="s">
        <v>1749</v>
      </c>
      <c r="B169" t="s">
        <v>1766</v>
      </c>
      <c r="C169">
        <v>0</v>
      </c>
      <c r="D169" t="s">
        <v>1447</v>
      </c>
      <c r="E169" t="s">
        <v>1766</v>
      </c>
      <c r="F169" t="s">
        <v>1759</v>
      </c>
      <c r="K169" t="str">
        <f>IF(ISBLANK('Q 2'!I41),"",IF('Q 2'!I41="&lt;please select&gt;","",'Q 2'!I41))</f>
        <v>No</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OTE, a.s.</v>
      </c>
    </row>
    <row r="176" spans="1:11" x14ac:dyDescent="0.3">
      <c r="A176" t="s">
        <v>1749</v>
      </c>
      <c r="B176" t="s">
        <v>1773</v>
      </c>
      <c r="C176">
        <v>1</v>
      </c>
      <c r="D176" t="s">
        <v>1447</v>
      </c>
      <c r="E176" t="s">
        <v>1775</v>
      </c>
      <c r="F176" t="s">
        <v>1741</v>
      </c>
      <c r="G176" t="str">
        <f>IF(ISBLANK('Q 2'!E49),"",IF('Q 2'!E49="&lt;please select&gt;","",'Q 2'!E49))</f>
        <v>OTE</v>
      </c>
    </row>
    <row r="177" spans="1:7" x14ac:dyDescent="0.3">
      <c r="A177" t="s">
        <v>1749</v>
      </c>
      <c r="B177" t="s">
        <v>1773</v>
      </c>
      <c r="C177">
        <v>1</v>
      </c>
      <c r="D177" t="s">
        <v>1447</v>
      </c>
      <c r="E177" t="s">
        <v>1776</v>
      </c>
      <c r="F177" t="s">
        <v>1741</v>
      </c>
      <c r="G177" t="str">
        <f>IF(ISBLANK('Q 2'!F49),"",IF('Q 2'!F49="&lt;please select&gt;","",'Q 2'!F49))</f>
        <v>420296579332</v>
      </c>
    </row>
    <row r="178" spans="1:7" x14ac:dyDescent="0.3">
      <c r="A178" t="s">
        <v>1749</v>
      </c>
      <c r="B178" t="s">
        <v>1773</v>
      </c>
      <c r="C178">
        <v>1</v>
      </c>
      <c r="D178" t="s">
        <v>1447</v>
      </c>
      <c r="E178" t="s">
        <v>1777</v>
      </c>
      <c r="F178" t="s">
        <v>1741</v>
      </c>
      <c r="G178" t="str">
        <f>IF(ISBLANK('Q 2'!G49),"",IF('Q 2'!G49="&lt;please select&gt;","",'Q 2'!G49))</f>
        <v>povolenky@ote-cr.cz</v>
      </c>
    </row>
    <row r="179" spans="1:7" x14ac:dyDescent="0.3">
      <c r="A179" t="s">
        <v>1749</v>
      </c>
      <c r="B179" t="s">
        <v>1773</v>
      </c>
      <c r="C179">
        <v>1</v>
      </c>
      <c r="D179" t="s">
        <v>1447</v>
      </c>
      <c r="E179" t="s">
        <v>1778</v>
      </c>
      <c r="F179" t="s">
        <v>1741</v>
      </c>
      <c r="G179" t="str">
        <f>IF(ISBLANK('Q 2'!H49),"",IF('Q 2'!H49="&lt;please select&gt;","",'Q 2'!H49))</f>
        <v>www.povolenky.cz</v>
      </c>
    </row>
    <row r="180" spans="1:7" x14ac:dyDescent="0.3">
      <c r="A180" t="s">
        <v>1779</v>
      </c>
      <c r="B180" t="s">
        <v>1780</v>
      </c>
      <c r="C180">
        <v>1</v>
      </c>
      <c r="D180" t="s">
        <v>1447</v>
      </c>
      <c r="E180" t="s">
        <v>1781</v>
      </c>
      <c r="F180" t="s">
        <v>1741</v>
      </c>
      <c r="G180" t="str">
        <f>IF(ISBLANK('Q 2'!F54),"",IF('Q 2'!F54="&lt;please select&gt;","",'Q 2'!F54))</f>
        <v>MoE</v>
      </c>
    </row>
    <row r="181" spans="1:7" x14ac:dyDescent="0.3">
      <c r="A181" t="s">
        <v>1779</v>
      </c>
      <c r="B181" t="s">
        <v>1780</v>
      </c>
      <c r="C181">
        <v>2</v>
      </c>
      <c r="D181" t="s">
        <v>1447</v>
      </c>
      <c r="E181" t="s">
        <v>1781</v>
      </c>
      <c r="F181" t="s">
        <v>1741</v>
      </c>
      <c r="G181" t="str">
        <f>IF(ISBLANK('Q 2'!F55),"",IF('Q 2'!F55="&lt;please select&gt;","",'Q 2'!F55))</f>
        <v>MoE</v>
      </c>
    </row>
    <row r="182" spans="1:7" x14ac:dyDescent="0.3">
      <c r="A182" t="s">
        <v>1779</v>
      </c>
      <c r="B182" t="s">
        <v>1780</v>
      </c>
      <c r="C182">
        <v>3</v>
      </c>
      <c r="D182" t="s">
        <v>1447</v>
      </c>
      <c r="E182" t="s">
        <v>1781</v>
      </c>
      <c r="F182" t="s">
        <v>1741</v>
      </c>
      <c r="G182" t="str">
        <f>IF(ISBLANK('Q 2'!F56),"",IF('Q 2'!F56="&lt;please select&gt;","",'Q 2'!F56))</f>
        <v>MoE</v>
      </c>
    </row>
    <row r="183" spans="1:7" x14ac:dyDescent="0.3">
      <c r="A183" t="s">
        <v>1779</v>
      </c>
      <c r="B183" t="s">
        <v>1780</v>
      </c>
      <c r="C183">
        <v>4</v>
      </c>
      <c r="D183" t="s">
        <v>1447</v>
      </c>
      <c r="E183" t="s">
        <v>1781</v>
      </c>
      <c r="F183" t="s">
        <v>1741</v>
      </c>
      <c r="G183" t="str">
        <f>IF(ISBLANK('Q 2'!F57),"",IF('Q 2'!F57="&lt;please select&gt;","",'Q 2'!F57))</f>
        <v>MoE</v>
      </c>
    </row>
    <row r="184" spans="1:7" x14ac:dyDescent="0.3">
      <c r="A184" t="s">
        <v>1779</v>
      </c>
      <c r="B184" t="s">
        <v>1780</v>
      </c>
      <c r="C184">
        <v>6</v>
      </c>
      <c r="D184" t="s">
        <v>1447</v>
      </c>
      <c r="E184" t="s">
        <v>1781</v>
      </c>
      <c r="F184" t="s">
        <v>1741</v>
      </c>
      <c r="G184" t="str">
        <f>IF(ISBLANK('Q 2'!F59),"",IF('Q 2'!F59="&lt;please select&gt;","",'Q 2'!F59))</f>
        <v>OTE</v>
      </c>
    </row>
    <row r="185" spans="1:7" x14ac:dyDescent="0.3">
      <c r="A185" t="s">
        <v>1779</v>
      </c>
      <c r="B185" t="s">
        <v>1780</v>
      </c>
      <c r="C185">
        <v>7</v>
      </c>
      <c r="D185" t="s">
        <v>1447</v>
      </c>
      <c r="E185" t="s">
        <v>1781</v>
      </c>
      <c r="F185" t="s">
        <v>1741</v>
      </c>
      <c r="G185" t="str">
        <f>IF(ISBLANK('Q 2'!F60),"",IF('Q 2'!F60="&lt;please select&gt;","",'Q 2'!F60))</f>
        <v>MoE, OTE</v>
      </c>
    </row>
    <row r="186" spans="1:7" x14ac:dyDescent="0.3">
      <c r="A186" t="s">
        <v>1779</v>
      </c>
      <c r="B186" t="s">
        <v>1780</v>
      </c>
      <c r="C186">
        <v>8</v>
      </c>
      <c r="D186" t="s">
        <v>1447</v>
      </c>
      <c r="E186" t="s">
        <v>1781</v>
      </c>
      <c r="F186" t="s">
        <v>1741</v>
      </c>
      <c r="G186" t="str">
        <f>IF(ISBLANK('Q 2'!F61),"",IF('Q 2'!F61="&lt;please select&gt;","",'Q 2'!F61))</f>
        <v>MoE</v>
      </c>
    </row>
    <row r="187" spans="1:7" x14ac:dyDescent="0.3">
      <c r="A187" t="s">
        <v>1779</v>
      </c>
      <c r="B187" t="s">
        <v>1780</v>
      </c>
      <c r="C187">
        <v>9</v>
      </c>
      <c r="D187" t="s">
        <v>1447</v>
      </c>
      <c r="E187" t="s">
        <v>1781</v>
      </c>
      <c r="F187" t="s">
        <v>1741</v>
      </c>
      <c r="G187" t="str">
        <f>IF(ISBLANK('Q 2'!F62),"",IF('Q 2'!F62="&lt;please select&gt;","",'Q 2'!F62))</f>
        <v>MoE</v>
      </c>
    </row>
    <row r="188" spans="1:7" x14ac:dyDescent="0.3">
      <c r="A188" t="s">
        <v>1779</v>
      </c>
      <c r="B188" t="s">
        <v>1780</v>
      </c>
      <c r="C188">
        <v>10</v>
      </c>
      <c r="D188" t="s">
        <v>1447</v>
      </c>
      <c r="E188" t="s">
        <v>1781</v>
      </c>
      <c r="F188" t="s">
        <v>1741</v>
      </c>
      <c r="G188" t="str">
        <f>IF(ISBLANK('Q 2'!F63),"",IF('Q 2'!F63="&lt;please select&gt;","",'Q 2'!F63))</f>
        <v>MoE</v>
      </c>
    </row>
    <row r="189" spans="1:7" x14ac:dyDescent="0.3">
      <c r="A189" t="s">
        <v>1779</v>
      </c>
      <c r="B189" t="s">
        <v>1780</v>
      </c>
      <c r="C189">
        <v>11</v>
      </c>
      <c r="D189" t="s">
        <v>1447</v>
      </c>
      <c r="E189" t="s">
        <v>1781</v>
      </c>
      <c r="F189" t="s">
        <v>1741</v>
      </c>
      <c r="G189" t="str">
        <f>IF(ISBLANK('Q 2'!F64),"",IF('Q 2'!F64="&lt;please select&gt;","",'Q 2'!F64))</f>
        <v>CIZP</v>
      </c>
    </row>
    <row r="190" spans="1:7" x14ac:dyDescent="0.3">
      <c r="A190" t="s">
        <v>1779</v>
      </c>
      <c r="B190" t="s">
        <v>1780</v>
      </c>
      <c r="C190">
        <v>12</v>
      </c>
      <c r="D190" t="s">
        <v>1447</v>
      </c>
      <c r="E190" t="s">
        <v>1781</v>
      </c>
      <c r="F190" t="s">
        <v>1741</v>
      </c>
      <c r="G190" t="str">
        <f>IF(ISBLANK('Q 2'!F65),"",IF('Q 2'!F65="&lt;please select&gt;","",'Q 2'!F65))</f>
        <v/>
      </c>
    </row>
    <row r="191" spans="1:7" x14ac:dyDescent="0.3">
      <c r="A191" t="s">
        <v>1779</v>
      </c>
      <c r="B191" t="s">
        <v>1780</v>
      </c>
      <c r="C191">
        <v>13</v>
      </c>
      <c r="D191" t="s">
        <v>1447</v>
      </c>
      <c r="E191" t="s">
        <v>1781</v>
      </c>
      <c r="F191" t="s">
        <v>1741</v>
      </c>
      <c r="G191" t="str">
        <f>IF(ISBLANK('Q 2'!F66),"",IF('Q 2'!F66="&lt;please select&gt;","",'Q 2'!F66))</f>
        <v>MoE</v>
      </c>
    </row>
    <row r="192" spans="1:7" x14ac:dyDescent="0.3">
      <c r="A192" t="s">
        <v>1779</v>
      </c>
      <c r="B192" t="s">
        <v>1780</v>
      </c>
      <c r="C192">
        <v>14</v>
      </c>
      <c r="D192" t="s">
        <v>1419</v>
      </c>
      <c r="E192" t="s">
        <v>1781</v>
      </c>
      <c r="F192" t="s">
        <v>1741</v>
      </c>
      <c r="G192" t="str">
        <f>IF(ISBLANK('Q 2'!F67),"",IF('Q 2'!F67="&lt;please select&gt;","",'Q 2'!F67))</f>
        <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MoE</v>
      </c>
    </row>
    <row r="197" spans="1:7" x14ac:dyDescent="0.3">
      <c r="A197" t="s">
        <v>1779</v>
      </c>
      <c r="B197" t="s">
        <v>1780</v>
      </c>
      <c r="C197">
        <v>6</v>
      </c>
      <c r="D197" t="s">
        <v>1447</v>
      </c>
      <c r="E197" t="s">
        <v>1782</v>
      </c>
      <c r="F197" t="s">
        <v>1741</v>
      </c>
      <c r="G197" t="str">
        <f>IF(ISBLANK('Q 2'!H59),"",IF('Q 2'!H59="&lt;please select&gt;","",'Q 2'!H59))</f>
        <v>OTE</v>
      </c>
    </row>
    <row r="198" spans="1:7" x14ac:dyDescent="0.3">
      <c r="A198" t="s">
        <v>1779</v>
      </c>
      <c r="B198" t="s">
        <v>1780</v>
      </c>
      <c r="C198">
        <v>7</v>
      </c>
      <c r="D198" t="s">
        <v>1447</v>
      </c>
      <c r="E198" t="s">
        <v>1782</v>
      </c>
      <c r="F198" t="s">
        <v>1741</v>
      </c>
      <c r="G198" t="str">
        <f>IF(ISBLANK('Q 2'!H60),"",IF('Q 2'!H60="&lt;please select&gt;","",'Q 2'!H60))</f>
        <v>MoE, OTE</v>
      </c>
    </row>
    <row r="199" spans="1:7" x14ac:dyDescent="0.3">
      <c r="A199" t="s">
        <v>1779</v>
      </c>
      <c r="B199" t="s">
        <v>1780</v>
      </c>
      <c r="C199">
        <v>8</v>
      </c>
      <c r="D199" t="s">
        <v>1447</v>
      </c>
      <c r="E199" t="s">
        <v>1782</v>
      </c>
      <c r="F199" t="s">
        <v>1741</v>
      </c>
      <c r="G199" t="str">
        <f>IF(ISBLANK('Q 2'!H61),"",IF('Q 2'!H61="&lt;please select&gt;","",'Q 2'!H61))</f>
        <v>MoE</v>
      </c>
    </row>
    <row r="200" spans="1:7" x14ac:dyDescent="0.3">
      <c r="A200" t="s">
        <v>1779</v>
      </c>
      <c r="B200" t="s">
        <v>1780</v>
      </c>
      <c r="C200">
        <v>9</v>
      </c>
      <c r="D200" t="s">
        <v>1447</v>
      </c>
      <c r="E200" t="s">
        <v>1782</v>
      </c>
      <c r="F200" t="s">
        <v>1741</v>
      </c>
      <c r="G200" t="str">
        <f>IF(ISBLANK('Q 2'!H62),"",IF('Q 2'!H62="&lt;please select&gt;","",'Q 2'!H62))</f>
        <v>MoE</v>
      </c>
    </row>
    <row r="201" spans="1:7" x14ac:dyDescent="0.3">
      <c r="A201" t="s">
        <v>1779</v>
      </c>
      <c r="B201" t="s">
        <v>1780</v>
      </c>
      <c r="C201">
        <v>10</v>
      </c>
      <c r="D201" t="s">
        <v>1447</v>
      </c>
      <c r="E201" t="s">
        <v>1782</v>
      </c>
      <c r="F201" t="s">
        <v>1741</v>
      </c>
      <c r="G201" t="str">
        <f>IF(ISBLANK('Q 2'!H63),"",IF('Q 2'!H63="&lt;please select&gt;","",'Q 2'!H63))</f>
        <v>MoE</v>
      </c>
    </row>
    <row r="202" spans="1:7" x14ac:dyDescent="0.3">
      <c r="A202" t="s">
        <v>1779</v>
      </c>
      <c r="B202" t="s">
        <v>1780</v>
      </c>
      <c r="C202">
        <v>11</v>
      </c>
      <c r="D202" t="s">
        <v>1447</v>
      </c>
      <c r="E202" t="s">
        <v>1782</v>
      </c>
      <c r="F202" t="s">
        <v>1741</v>
      </c>
      <c r="G202" t="str">
        <f>IF(ISBLANK('Q 2'!H64),"",IF('Q 2'!H64="&lt;please select&gt;","",'Q 2'!H64))</f>
        <v>CIZP</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Ministry of the Environment</v>
      </c>
    </row>
    <row r="212" spans="1:11" x14ac:dyDescent="0.3">
      <c r="A212" t="s">
        <v>1784</v>
      </c>
      <c r="B212" t="s">
        <v>1785</v>
      </c>
      <c r="C212">
        <v>0</v>
      </c>
      <c r="D212" t="s">
        <v>1447</v>
      </c>
      <c r="E212" t="s">
        <v>1787</v>
      </c>
      <c r="F212" t="s">
        <v>1741</v>
      </c>
      <c r="G212" t="str">
        <f>IF(ISBLANK('Q 2'!$G$82),"",IF('Q 2'!$G$82="&lt;please select&gt;","",'Q 2'!$G$82))</f>
        <v>MoE</v>
      </c>
    </row>
    <row r="213" spans="1:11" x14ac:dyDescent="0.3">
      <c r="A213" t="s">
        <v>1784</v>
      </c>
      <c r="B213" t="s">
        <v>1788</v>
      </c>
      <c r="C213">
        <v>1</v>
      </c>
      <c r="D213" t="s">
        <v>1447</v>
      </c>
      <c r="E213" t="s">
        <v>1789</v>
      </c>
      <c r="F213" t="s">
        <v>1759</v>
      </c>
      <c r="K213" t="str">
        <f>IF(ISBLANK('Q 2'!G86),"",IF('Q 2'!G86="&lt;please select&gt;","",'Q 2'!G86))</f>
        <v>No</v>
      </c>
    </row>
    <row r="214" spans="1:11" x14ac:dyDescent="0.3">
      <c r="A214" t="s">
        <v>1784</v>
      </c>
      <c r="B214" t="s">
        <v>1788</v>
      </c>
      <c r="C214">
        <v>2</v>
      </c>
      <c r="D214" t="s">
        <v>1447</v>
      </c>
      <c r="E214" t="s">
        <v>1789</v>
      </c>
      <c r="F214" t="s">
        <v>1759</v>
      </c>
      <c r="K214" t="str">
        <f>IF(ISBLANK('Q 2'!G87),"",IF('Q 2'!G87="&lt;please select&gt;","",'Q 2'!G87))</f>
        <v>No</v>
      </c>
    </row>
    <row r="215" spans="1:11" x14ac:dyDescent="0.3">
      <c r="A215" t="s">
        <v>1784</v>
      </c>
      <c r="B215" t="s">
        <v>1788</v>
      </c>
      <c r="C215">
        <v>3</v>
      </c>
      <c r="D215" t="s">
        <v>1447</v>
      </c>
      <c r="E215" t="s">
        <v>1789</v>
      </c>
      <c r="F215" t="s">
        <v>1759</v>
      </c>
      <c r="K215" t="str">
        <f>IF(ISBLANK('Q 2'!G88),"",IF('Q 2'!G88="&lt;please select&gt;","",'Q 2'!G88))</f>
        <v>No</v>
      </c>
    </row>
    <row r="216" spans="1:11" x14ac:dyDescent="0.3">
      <c r="A216" t="s">
        <v>1784</v>
      </c>
      <c r="B216" t="s">
        <v>1788</v>
      </c>
      <c r="C216">
        <v>4</v>
      </c>
      <c r="D216" t="s">
        <v>1447</v>
      </c>
      <c r="E216" t="s">
        <v>1789</v>
      </c>
      <c r="F216" t="s">
        <v>1759</v>
      </c>
      <c r="K216" t="str">
        <f>IF(ISBLANK('Q 2'!G89),"",IF('Q 2'!G89="&lt;please select&gt;","",'Q 2'!G89))</f>
        <v>No</v>
      </c>
    </row>
    <row r="217" spans="1:11" x14ac:dyDescent="0.3">
      <c r="A217" t="s">
        <v>1784</v>
      </c>
      <c r="B217" t="s">
        <v>1788</v>
      </c>
      <c r="C217">
        <v>5</v>
      </c>
      <c r="D217" t="s">
        <v>1447</v>
      </c>
      <c r="E217" t="s">
        <v>1789</v>
      </c>
      <c r="F217" t="s">
        <v>1759</v>
      </c>
      <c r="K217" t="str">
        <f>IF(ISBLANK('Q 2'!G90),"",IF('Q 2'!G90="&lt;please select&gt;","",'Q 2'!G90))</f>
        <v>No</v>
      </c>
    </row>
    <row r="218" spans="1:11" x14ac:dyDescent="0.3">
      <c r="A218" t="s">
        <v>1784</v>
      </c>
      <c r="B218" t="s">
        <v>1788</v>
      </c>
      <c r="C218">
        <v>6</v>
      </c>
      <c r="D218" t="s">
        <v>1447</v>
      </c>
      <c r="E218" t="s">
        <v>1789</v>
      </c>
      <c r="F218" t="s">
        <v>1759</v>
      </c>
      <c r="K218" t="str">
        <f>IF(ISBLANK('Q 2'!G91),"",IF('Q 2'!G91="&lt;please select&gt;","",'Q 2'!G91))</f>
        <v>No</v>
      </c>
    </row>
    <row r="219" spans="1:11" x14ac:dyDescent="0.3">
      <c r="A219" t="s">
        <v>1784</v>
      </c>
      <c r="B219" t="s">
        <v>1788</v>
      </c>
      <c r="C219">
        <v>7</v>
      </c>
      <c r="D219" t="s">
        <v>1419</v>
      </c>
      <c r="E219" t="s">
        <v>1783</v>
      </c>
      <c r="F219" t="s">
        <v>1741</v>
      </c>
      <c r="G219" t="str">
        <f>IF(ISBLANK('Q 2'!F92),"",IF('Q 2'!F92="&lt;please select&gt;","",'Q 2'!F92))</f>
        <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Not relevant</v>
      </c>
    </row>
    <row r="224" spans="1:11" x14ac:dyDescent="0.3">
      <c r="A224" t="s">
        <v>1784</v>
      </c>
      <c r="B224" t="s">
        <v>1788</v>
      </c>
      <c r="C224">
        <v>2</v>
      </c>
      <c r="D224" t="s">
        <v>1447</v>
      </c>
      <c r="E224" t="s">
        <v>1790</v>
      </c>
      <c r="F224" t="s">
        <v>1791</v>
      </c>
      <c r="J224" t="str">
        <f>IF(ISBLANK('Q 2'!H87),"",IF('Q 2'!H87="&lt;please select&gt;","",'Q 2'!H87))</f>
        <v>Not relevant</v>
      </c>
    </row>
    <row r="225" spans="1:11" x14ac:dyDescent="0.3">
      <c r="A225" t="s">
        <v>1784</v>
      </c>
      <c r="B225" t="s">
        <v>1788</v>
      </c>
      <c r="C225">
        <v>3</v>
      </c>
      <c r="D225" t="s">
        <v>1447</v>
      </c>
      <c r="E225" t="s">
        <v>1790</v>
      </c>
      <c r="F225" t="s">
        <v>1791</v>
      </c>
      <c r="J225" t="str">
        <f>IF(ISBLANK('Q 2'!H88),"",IF('Q 2'!H88="&lt;please select&gt;","",'Q 2'!H88))</f>
        <v>Not relevant</v>
      </c>
    </row>
    <row r="226" spans="1:11" x14ac:dyDescent="0.3">
      <c r="A226" t="s">
        <v>1784</v>
      </c>
      <c r="B226" t="s">
        <v>1788</v>
      </c>
      <c r="C226">
        <v>4</v>
      </c>
      <c r="D226" t="s">
        <v>1447</v>
      </c>
      <c r="E226" t="s">
        <v>1790</v>
      </c>
      <c r="F226" t="s">
        <v>1791</v>
      </c>
      <c r="J226" t="str">
        <f>IF(ISBLANK('Q 2'!H89),"",IF('Q 2'!H89="&lt;please select&gt;","",'Q 2'!H89))</f>
        <v>Not relevant</v>
      </c>
    </row>
    <row r="227" spans="1:11" x14ac:dyDescent="0.3">
      <c r="A227" t="s">
        <v>1784</v>
      </c>
      <c r="B227" t="s">
        <v>1788</v>
      </c>
      <c r="C227">
        <v>5</v>
      </c>
      <c r="D227" t="s">
        <v>1447</v>
      </c>
      <c r="E227" t="s">
        <v>1790</v>
      </c>
      <c r="F227" t="s">
        <v>1791</v>
      </c>
      <c r="J227" t="str">
        <f>IF(ISBLANK('Q 2'!H90),"",IF('Q 2'!H90="&lt;please select&gt;","",'Q 2'!H90))</f>
        <v>Not relevant</v>
      </c>
    </row>
    <row r="228" spans="1:11" x14ac:dyDescent="0.3">
      <c r="A228" t="s">
        <v>1784</v>
      </c>
      <c r="B228" t="s">
        <v>1788</v>
      </c>
      <c r="C228">
        <v>6</v>
      </c>
      <c r="D228" t="s">
        <v>1447</v>
      </c>
      <c r="E228" t="s">
        <v>1790</v>
      </c>
      <c r="F228" t="s">
        <v>1791</v>
      </c>
      <c r="J228" t="str">
        <f>IF(ISBLANK('Q 2'!H91),"",IF('Q 2'!H91="&lt;please select&gt;","",'Q 2'!H91))</f>
        <v>Not relevant</v>
      </c>
    </row>
    <row r="229" spans="1:11" x14ac:dyDescent="0.3">
      <c r="A229" t="s">
        <v>1784</v>
      </c>
      <c r="B229" t="s">
        <v>1788</v>
      </c>
      <c r="C229">
        <v>7</v>
      </c>
      <c r="D229" t="s">
        <v>1419</v>
      </c>
      <c r="E229" t="s">
        <v>1790</v>
      </c>
      <c r="F229" t="s">
        <v>1791</v>
      </c>
      <c r="J229" t="str">
        <f>IF(ISBLANK('Q 2'!H92),"",IF('Q 2'!H92="&lt;please select&gt;","",'Q 2'!H92))</f>
        <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No</v>
      </c>
    </row>
    <row r="234" spans="1:11" x14ac:dyDescent="0.3">
      <c r="A234" t="s">
        <v>1792</v>
      </c>
      <c r="B234" t="s">
        <v>1793</v>
      </c>
      <c r="C234">
        <v>2</v>
      </c>
      <c r="D234" t="s">
        <v>1447</v>
      </c>
      <c r="E234" t="s">
        <v>1794</v>
      </c>
      <c r="F234" t="s">
        <v>1759</v>
      </c>
      <c r="K234" t="str">
        <f>IF(ISBLANK('Q 2'!G101),"",IF('Q 2'!G101="&lt;please select&gt;","",'Q 2'!G101))</f>
        <v>Yes</v>
      </c>
    </row>
    <row r="235" spans="1:11" x14ac:dyDescent="0.3">
      <c r="A235" t="s">
        <v>1792</v>
      </c>
      <c r="B235" t="s">
        <v>1793</v>
      </c>
      <c r="C235">
        <v>3</v>
      </c>
      <c r="D235" t="s">
        <v>1447</v>
      </c>
      <c r="E235" t="s">
        <v>1794</v>
      </c>
      <c r="F235" t="s">
        <v>1759</v>
      </c>
      <c r="K235" t="str">
        <f>IF(ISBLANK('Q 2'!G102),"",IF('Q 2'!G102="&lt;please select&gt;","",'Q 2'!G102))</f>
        <v>Yes</v>
      </c>
    </row>
    <row r="236" spans="1:11" x14ac:dyDescent="0.3">
      <c r="A236" t="s">
        <v>1792</v>
      </c>
      <c r="B236" t="s">
        <v>1793</v>
      </c>
      <c r="C236">
        <v>4</v>
      </c>
      <c r="D236" t="s">
        <v>1447</v>
      </c>
      <c r="E236" t="s">
        <v>1783</v>
      </c>
      <c r="F236" t="s">
        <v>1741</v>
      </c>
      <c r="G236" t="str">
        <f>IF(ISBLANK('Q 2'!F103),"",IF('Q 2'!F103="&lt;please select&gt;","",'Q 2'!F103))</f>
        <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Ad hoc meetings</v>
      </c>
    </row>
    <row r="241" spans="1:11" x14ac:dyDescent="0.3">
      <c r="A241" t="s">
        <v>1792</v>
      </c>
      <c r="B241" t="s">
        <v>1793</v>
      </c>
      <c r="C241">
        <v>2</v>
      </c>
      <c r="D241" t="s">
        <v>1447</v>
      </c>
      <c r="E241" t="s">
        <v>1795</v>
      </c>
      <c r="F241" t="s">
        <v>1791</v>
      </c>
      <c r="J241" t="str">
        <f>IF(ISBLANK('Q 2'!H101),"",IF('Q 2'!H101="&lt;please select&gt;","",'Q 2'!H101))</f>
        <v>Technical Committee on Accreditation of GHG
Reports Verifiers (CAI + verifiers + MoE +
operators and/or industry groupings)</v>
      </c>
    </row>
    <row r="242" spans="1:11" x14ac:dyDescent="0.3">
      <c r="A242" t="s">
        <v>1792</v>
      </c>
      <c r="B242" t="s">
        <v>1793</v>
      </c>
      <c r="C242">
        <v>3</v>
      </c>
      <c r="D242" t="s">
        <v>1447</v>
      </c>
      <c r="E242" t="s">
        <v>1795</v>
      </c>
      <c r="F242" t="s">
        <v>1791</v>
      </c>
      <c r="J242" t="str">
        <f>IF(ISBLANK('Q 2'!H102),"",IF('Q 2'!H102="&lt;please select&gt;","",'Q 2'!H102))</f>
        <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247</v>
      </c>
    </row>
    <row r="248" spans="1:11" x14ac:dyDescent="0.3">
      <c r="A248" t="s">
        <v>1796</v>
      </c>
      <c r="B248" t="s">
        <v>1797</v>
      </c>
      <c r="C248">
        <v>2</v>
      </c>
      <c r="D248" t="s">
        <v>1447</v>
      </c>
      <c r="E248" t="s">
        <v>1798</v>
      </c>
      <c r="F248" t="s">
        <v>1748</v>
      </c>
      <c r="H248" s="165" t="str">
        <f>IF(ISBLANK('Q 3'!G8),"",IF('Q 3'!G8="&lt;please select&gt;","",'Q 3'!G8))</f>
        <v>159</v>
      </c>
    </row>
    <row r="249" spans="1:11" x14ac:dyDescent="0.3">
      <c r="A249" t="s">
        <v>1796</v>
      </c>
      <c r="B249" t="s">
        <v>1797</v>
      </c>
      <c r="C249">
        <v>3</v>
      </c>
      <c r="D249" t="s">
        <v>1447</v>
      </c>
      <c r="E249" t="s">
        <v>1798</v>
      </c>
      <c r="F249" t="s">
        <v>1748</v>
      </c>
      <c r="H249" s="165" t="str">
        <f>IF(ISBLANK('Q 3'!G9),"",IF('Q 3'!G9="&lt;please select&gt;","",'Q 3'!G9))</f>
        <v>59</v>
      </c>
    </row>
    <row r="250" spans="1:11" x14ac:dyDescent="0.3">
      <c r="A250" t="s">
        <v>1796</v>
      </c>
      <c r="B250" t="s">
        <v>1797</v>
      </c>
      <c r="C250">
        <v>4</v>
      </c>
      <c r="D250" t="s">
        <v>1447</v>
      </c>
      <c r="E250" t="s">
        <v>1798</v>
      </c>
      <c r="F250" t="s">
        <v>1748</v>
      </c>
      <c r="H250" s="165" t="str">
        <f>IF(ISBLANK('Q 3'!G10),"",IF('Q 3'!G10="&lt;please select&gt;","",'Q 3'!G10))</f>
        <v>29</v>
      </c>
    </row>
    <row r="251" spans="1:11" x14ac:dyDescent="0.3">
      <c r="A251" t="s">
        <v>1796</v>
      </c>
      <c r="B251" t="s">
        <v>1797</v>
      </c>
      <c r="C251">
        <v>5</v>
      </c>
      <c r="D251" t="s">
        <v>1447</v>
      </c>
      <c r="E251" t="s">
        <v>1798</v>
      </c>
      <c r="F251" t="s">
        <v>1748</v>
      </c>
      <c r="H251" s="165" t="str">
        <f>IF(ISBLANK('Q 3'!G11),"",IF('Q 3'!G11="&lt;please select&gt;","",'Q 3'!G11))</f>
        <v>128</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Yes</v>
      </c>
    </row>
    <row r="254" spans="1:11" x14ac:dyDescent="0.3">
      <c r="A254" t="s">
        <v>1796</v>
      </c>
      <c r="B254" t="s">
        <v>1799</v>
      </c>
      <c r="C254">
        <v>3</v>
      </c>
      <c r="D254" t="s">
        <v>1447</v>
      </c>
      <c r="E254" t="s">
        <v>1800</v>
      </c>
      <c r="F254" t="s">
        <v>1759</v>
      </c>
      <c r="K254" t="str">
        <f>IF(ISBLANK('Q 3'!H17),"",IF('Q 3'!H17="&lt;please select&gt;","",'Q 3'!H17))</f>
        <v>Yes</v>
      </c>
    </row>
    <row r="255" spans="1:11" x14ac:dyDescent="0.3">
      <c r="A255" t="s">
        <v>1796</v>
      </c>
      <c r="B255" t="s">
        <v>1799</v>
      </c>
      <c r="C255">
        <v>4</v>
      </c>
      <c r="D255" t="s">
        <v>1447</v>
      </c>
      <c r="E255" t="s">
        <v>1800</v>
      </c>
      <c r="F255" t="s">
        <v>1759</v>
      </c>
      <c r="K255" t="str">
        <f>IF(ISBLANK('Q 3'!H18),"",IF('Q 3'!H18="&lt;please select&gt;","",'Q 3'!H18))</f>
        <v>Yes</v>
      </c>
    </row>
    <row r="256" spans="1:11" x14ac:dyDescent="0.3">
      <c r="A256" t="s">
        <v>1796</v>
      </c>
      <c r="B256" t="s">
        <v>1799</v>
      </c>
      <c r="C256">
        <v>5</v>
      </c>
      <c r="D256" t="s">
        <v>1447</v>
      </c>
      <c r="E256" t="s">
        <v>1800</v>
      </c>
      <c r="F256" t="s">
        <v>1759</v>
      </c>
      <c r="K256" t="str">
        <f>IF(ISBLANK('Q 3'!H19),"",IF('Q 3'!H19="&lt;please select&gt;","",'Q 3'!H19))</f>
        <v>Yes</v>
      </c>
    </row>
    <row r="257" spans="1:11" x14ac:dyDescent="0.3">
      <c r="A257" t="s">
        <v>1796</v>
      </c>
      <c r="B257" t="s">
        <v>1799</v>
      </c>
      <c r="C257">
        <v>6</v>
      </c>
      <c r="D257" t="s">
        <v>1447</v>
      </c>
      <c r="E257" t="s">
        <v>1800</v>
      </c>
      <c r="F257" t="s">
        <v>1759</v>
      </c>
      <c r="K257" t="str">
        <f>IF(ISBLANK('Q 3'!H20),"",IF('Q 3'!H20="&lt;please select&gt;","",'Q 3'!H20))</f>
        <v>Yes</v>
      </c>
    </row>
    <row r="258" spans="1:11" x14ac:dyDescent="0.3">
      <c r="A258" t="s">
        <v>1796</v>
      </c>
      <c r="B258" t="s">
        <v>1799</v>
      </c>
      <c r="C258">
        <v>7</v>
      </c>
      <c r="D258" t="s">
        <v>1447</v>
      </c>
      <c r="E258" t="s">
        <v>1800</v>
      </c>
      <c r="F258" t="s">
        <v>1759</v>
      </c>
      <c r="K258" t="str">
        <f>IF(ISBLANK('Q 3'!H21),"",IF('Q 3'!H21="&lt;please select&gt;","",'Q 3'!H21))</f>
        <v>No</v>
      </c>
    </row>
    <row r="259" spans="1:11" x14ac:dyDescent="0.3">
      <c r="A259" t="s">
        <v>1796</v>
      </c>
      <c r="B259" t="s">
        <v>1799</v>
      </c>
      <c r="C259">
        <v>8</v>
      </c>
      <c r="D259" t="s">
        <v>1447</v>
      </c>
      <c r="E259" t="s">
        <v>1800</v>
      </c>
      <c r="F259" t="s">
        <v>1759</v>
      </c>
      <c r="K259" t="str">
        <f>IF(ISBLANK('Q 3'!H22),"",IF('Q 3'!H22="&lt;please select&gt;","",'Q 3'!H22))</f>
        <v>Yes</v>
      </c>
    </row>
    <row r="260" spans="1:11" x14ac:dyDescent="0.3">
      <c r="A260" t="s">
        <v>1796</v>
      </c>
      <c r="B260" t="s">
        <v>1799</v>
      </c>
      <c r="C260">
        <v>9</v>
      </c>
      <c r="D260" t="s">
        <v>1447</v>
      </c>
      <c r="E260" t="s">
        <v>1800</v>
      </c>
      <c r="F260" t="s">
        <v>1759</v>
      </c>
      <c r="K260" t="str">
        <f>IF(ISBLANK('Q 3'!H23),"",IF('Q 3'!H23="&lt;please select&gt;","",'Q 3'!H23))</f>
        <v>Yes</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Yes</v>
      </c>
    </row>
    <row r="263" spans="1:11" x14ac:dyDescent="0.3">
      <c r="A263" t="s">
        <v>1796</v>
      </c>
      <c r="B263" t="s">
        <v>1799</v>
      </c>
      <c r="C263">
        <v>12</v>
      </c>
      <c r="D263" t="s">
        <v>1447</v>
      </c>
      <c r="E263" t="s">
        <v>1800</v>
      </c>
      <c r="F263" t="s">
        <v>1759</v>
      </c>
      <c r="K263" t="str">
        <f>IF(ISBLANK('Q 3'!H26),"",IF('Q 3'!H26="&lt;please select&gt;","",'Q 3'!H26))</f>
        <v>Yes</v>
      </c>
    </row>
    <row r="264" spans="1:11" x14ac:dyDescent="0.3">
      <c r="A264" t="s">
        <v>1796</v>
      </c>
      <c r="B264" t="s">
        <v>1799</v>
      </c>
      <c r="C264">
        <v>13</v>
      </c>
      <c r="D264" t="s">
        <v>1447</v>
      </c>
      <c r="E264" t="s">
        <v>1800</v>
      </c>
      <c r="F264" t="s">
        <v>1759</v>
      </c>
      <c r="K264" t="str">
        <f>IF(ISBLANK('Q 3'!H27),"",IF('Q 3'!H27="&lt;please select&gt;","",'Q 3'!H27))</f>
        <v>Yes</v>
      </c>
    </row>
    <row r="265" spans="1:11" x14ac:dyDescent="0.3">
      <c r="A265" t="s">
        <v>1796</v>
      </c>
      <c r="B265" t="s">
        <v>1799</v>
      </c>
      <c r="C265">
        <v>14</v>
      </c>
      <c r="D265" t="s">
        <v>1447</v>
      </c>
      <c r="E265" t="s">
        <v>1800</v>
      </c>
      <c r="F265" t="s">
        <v>1759</v>
      </c>
      <c r="K265" t="str">
        <f>IF(ISBLANK('Q 3'!H28),"",IF('Q 3'!H28="&lt;please select&gt;","",'Q 3'!H28))</f>
        <v>Yes</v>
      </c>
    </row>
    <row r="266" spans="1:11" x14ac:dyDescent="0.3">
      <c r="A266" t="s">
        <v>1796</v>
      </c>
      <c r="B266" t="s">
        <v>1799</v>
      </c>
      <c r="C266">
        <v>15</v>
      </c>
      <c r="D266" t="s">
        <v>1447</v>
      </c>
      <c r="E266" t="s">
        <v>1800</v>
      </c>
      <c r="F266" t="s">
        <v>1759</v>
      </c>
      <c r="K266" t="str">
        <f>IF(ISBLANK('Q 3'!H29),"",IF('Q 3'!H29="&lt;please select&gt;","",'Q 3'!H29))</f>
        <v>Yes</v>
      </c>
    </row>
    <row r="267" spans="1:11" x14ac:dyDescent="0.3">
      <c r="A267" t="s">
        <v>1796</v>
      </c>
      <c r="B267" t="s">
        <v>1799</v>
      </c>
      <c r="C267">
        <v>16</v>
      </c>
      <c r="D267" t="s">
        <v>1447</v>
      </c>
      <c r="E267" t="s">
        <v>1800</v>
      </c>
      <c r="F267" t="s">
        <v>1759</v>
      </c>
      <c r="K267" t="str">
        <f>IF(ISBLANK('Q 3'!H30),"",IF('Q 3'!H30="&lt;please select&gt;","",'Q 3'!H30))</f>
        <v>Yes</v>
      </c>
    </row>
    <row r="268" spans="1:11" x14ac:dyDescent="0.3">
      <c r="A268" t="s">
        <v>1796</v>
      </c>
      <c r="B268" t="s">
        <v>1799</v>
      </c>
      <c r="C268">
        <v>17</v>
      </c>
      <c r="D268" t="s">
        <v>1447</v>
      </c>
      <c r="E268" t="s">
        <v>1800</v>
      </c>
      <c r="F268" t="s">
        <v>1759</v>
      </c>
      <c r="K268" t="str">
        <f>IF(ISBLANK('Q 3'!H31),"",IF('Q 3'!H31="&lt;please select&gt;","",'Q 3'!H31))</f>
        <v>Yes</v>
      </c>
    </row>
    <row r="269" spans="1:11" x14ac:dyDescent="0.3">
      <c r="A269" t="s">
        <v>1796</v>
      </c>
      <c r="B269" t="s">
        <v>1799</v>
      </c>
      <c r="C269">
        <v>18</v>
      </c>
      <c r="D269" t="s">
        <v>1447</v>
      </c>
      <c r="E269" t="s">
        <v>1800</v>
      </c>
      <c r="F269" t="s">
        <v>1759</v>
      </c>
      <c r="K269" t="str">
        <f>IF(ISBLANK('Q 3'!H32),"",IF('Q 3'!H32="&lt;please select&gt;","",'Q 3'!H32))</f>
        <v>Yes</v>
      </c>
    </row>
    <row r="270" spans="1:11" x14ac:dyDescent="0.3">
      <c r="A270" t="s">
        <v>1796</v>
      </c>
      <c r="B270" t="s">
        <v>1799</v>
      </c>
      <c r="C270">
        <v>19</v>
      </c>
      <c r="D270" t="s">
        <v>1447</v>
      </c>
      <c r="E270" t="s">
        <v>1800</v>
      </c>
      <c r="F270" t="s">
        <v>1759</v>
      </c>
      <c r="K270" t="str">
        <f>IF(ISBLANK('Q 3'!H33),"",IF('Q 3'!H33="&lt;please select&gt;","",'Q 3'!H33))</f>
        <v>Yes</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No</v>
      </c>
    </row>
    <row r="274" spans="1:11" x14ac:dyDescent="0.3">
      <c r="A274" t="s">
        <v>1796</v>
      </c>
      <c r="B274" t="s">
        <v>1799</v>
      </c>
      <c r="C274">
        <v>23</v>
      </c>
      <c r="D274" t="s">
        <v>1447</v>
      </c>
      <c r="E274" t="s">
        <v>1800</v>
      </c>
      <c r="F274" t="s">
        <v>1759</v>
      </c>
      <c r="K274" t="str">
        <f>IF(ISBLANK('Q 3'!H37),"",IF('Q 3'!H37="&lt;please select&gt;","",'Q 3'!H37))</f>
        <v>Yes</v>
      </c>
    </row>
    <row r="275" spans="1:11" x14ac:dyDescent="0.3">
      <c r="A275" t="s">
        <v>1796</v>
      </c>
      <c r="B275" t="s">
        <v>1799</v>
      </c>
      <c r="C275">
        <v>24</v>
      </c>
      <c r="D275" t="s">
        <v>1447</v>
      </c>
      <c r="E275" t="s">
        <v>1800</v>
      </c>
      <c r="F275" t="s">
        <v>1759</v>
      </c>
      <c r="K275" t="str">
        <f>IF(ISBLANK('Q 3'!H38),"",IF('Q 3'!H38="&lt;please select&gt;","",'Q 3'!H38))</f>
        <v>Yes</v>
      </c>
    </row>
    <row r="276" spans="1:11" x14ac:dyDescent="0.3">
      <c r="A276" t="s">
        <v>1796</v>
      </c>
      <c r="B276" t="s">
        <v>1799</v>
      </c>
      <c r="C276">
        <v>25</v>
      </c>
      <c r="D276" t="s">
        <v>1447</v>
      </c>
      <c r="E276" t="s">
        <v>1800</v>
      </c>
      <c r="F276" t="s">
        <v>1759</v>
      </c>
      <c r="K276" t="str">
        <f>IF(ISBLANK('Q 3'!H39),"",IF('Q 3'!H39="&lt;please select&gt;","",'Q 3'!H39))</f>
        <v>No</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Yes</v>
      </c>
    </row>
    <row r="281" spans="1:11" x14ac:dyDescent="0.3">
      <c r="A281" t="s">
        <v>1801</v>
      </c>
      <c r="B281" t="s">
        <v>1803</v>
      </c>
      <c r="C281">
        <v>1</v>
      </c>
      <c r="D281" t="s">
        <v>1447</v>
      </c>
      <c r="E281" t="s">
        <v>1804</v>
      </c>
      <c r="F281" t="s">
        <v>1737</v>
      </c>
      <c r="K281" t="str">
        <f>IF(ISBLANK('Q 3'!C51),"",IF('Q 3'!C51="&lt;please select&gt;","",'Q 3'!C51))</f>
        <v>Article 27</v>
      </c>
    </row>
    <row r="282" spans="1:11" x14ac:dyDescent="0.3">
      <c r="A282" t="s">
        <v>1801</v>
      </c>
      <c r="B282" t="s">
        <v>1803</v>
      </c>
      <c r="C282">
        <v>2</v>
      </c>
      <c r="D282" t="s">
        <v>1447</v>
      </c>
      <c r="E282" t="s">
        <v>1804</v>
      </c>
      <c r="F282" t="s">
        <v>1737</v>
      </c>
      <c r="K282" t="str">
        <f>IF(ISBLANK('Q 3'!C52),"",IF('Q 3'!C52="&lt;please select&gt;","",'Q 3'!C52))</f>
        <v>Article 27a (1)</v>
      </c>
    </row>
    <row r="283" spans="1:11" x14ac:dyDescent="0.3">
      <c r="A283" t="s">
        <v>1801</v>
      </c>
      <c r="B283" t="s">
        <v>1803</v>
      </c>
      <c r="C283">
        <v>3</v>
      </c>
      <c r="D283" t="s">
        <v>1447</v>
      </c>
      <c r="E283" t="s">
        <v>1804</v>
      </c>
      <c r="F283" t="s">
        <v>1737</v>
      </c>
      <c r="K283" t="str">
        <f>IF(ISBLANK('Q 3'!C53),"",IF('Q 3'!C53="&lt;please select&gt;","",'Q 3'!C53))</f>
        <v>Article 27a (3)</v>
      </c>
    </row>
    <row r="284" spans="1:11" x14ac:dyDescent="0.3">
      <c r="A284" t="s">
        <v>1801</v>
      </c>
      <c r="B284" t="s">
        <v>1803</v>
      </c>
      <c r="C284">
        <v>1</v>
      </c>
      <c r="D284" t="s">
        <v>1447</v>
      </c>
      <c r="E284" t="s">
        <v>1805</v>
      </c>
      <c r="F284" t="s">
        <v>1806</v>
      </c>
      <c r="I284" s="165" t="str">
        <f>IF(ISBLANK('Q 3'!F51),"",IF('Q 3'!F51="&lt;please select&gt;","",'Q 3'!F51))</f>
        <v>0</v>
      </c>
    </row>
    <row r="285" spans="1:11" x14ac:dyDescent="0.3">
      <c r="A285" t="s">
        <v>1801</v>
      </c>
      <c r="B285" t="s">
        <v>1803</v>
      </c>
      <c r="C285">
        <v>2</v>
      </c>
      <c r="D285" t="s">
        <v>1447</v>
      </c>
      <c r="E285" t="s">
        <v>1805</v>
      </c>
      <c r="F285" t="s">
        <v>1806</v>
      </c>
      <c r="I285" s="165" t="str">
        <f>IF(ISBLANK('Q 3'!F52),"",IF('Q 3'!F52="&lt;please select&gt;","",'Q 3'!F52))</f>
        <v>9289</v>
      </c>
    </row>
    <row r="286" spans="1:11" x14ac:dyDescent="0.3">
      <c r="A286" t="s">
        <v>1801</v>
      </c>
      <c r="B286" t="s">
        <v>1803</v>
      </c>
      <c r="C286">
        <v>3</v>
      </c>
      <c r="D286" t="s">
        <v>1447</v>
      </c>
      <c r="E286" t="s">
        <v>1805</v>
      </c>
      <c r="F286" t="s">
        <v>1806</v>
      </c>
      <c r="I286" s="165" t="str">
        <f>IF(ISBLANK('Q 3'!F53),"",IF('Q 3'!F53="&lt;please select&gt;","",'Q 3'!F53))</f>
        <v>0</v>
      </c>
    </row>
    <row r="287" spans="1:11" x14ac:dyDescent="0.3">
      <c r="A287" t="s">
        <v>1801</v>
      </c>
      <c r="B287" t="s">
        <v>1803</v>
      </c>
      <c r="C287">
        <v>1</v>
      </c>
      <c r="D287" t="s">
        <v>1447</v>
      </c>
      <c r="E287" t="s">
        <v>1807</v>
      </c>
      <c r="F287" t="s">
        <v>1748</v>
      </c>
      <c r="H287" s="165" t="str">
        <f>IF(ISBLANK('Q 3'!H51),"",IF('Q 3'!H51="&lt;please select&gt;","",'Q 3'!H51))</f>
        <v>0</v>
      </c>
    </row>
    <row r="288" spans="1:11" x14ac:dyDescent="0.3">
      <c r="A288" t="s">
        <v>1801</v>
      </c>
      <c r="B288" t="s">
        <v>1803</v>
      </c>
      <c r="C288">
        <v>2</v>
      </c>
      <c r="D288" t="s">
        <v>1447</v>
      </c>
      <c r="E288" t="s">
        <v>1807</v>
      </c>
      <c r="F288" t="s">
        <v>1748</v>
      </c>
      <c r="H288" s="165" t="str">
        <f>IF(ISBLANK('Q 3'!H52),"",IF('Q 3'!H52="&lt;please select&gt;","",'Q 3'!H52))</f>
        <v>1</v>
      </c>
    </row>
    <row r="289" spans="1:11" x14ac:dyDescent="0.3">
      <c r="A289" t="s">
        <v>1801</v>
      </c>
      <c r="B289" t="s">
        <v>1803</v>
      </c>
      <c r="C289">
        <v>3</v>
      </c>
      <c r="D289" t="s">
        <v>1447</v>
      </c>
      <c r="E289" t="s">
        <v>1807</v>
      </c>
      <c r="F289" t="s">
        <v>1748</v>
      </c>
      <c r="H289" s="165" t="str">
        <f>IF(ISBLANK('Q 3'!H53),"",IF('Q 3'!H53="&lt;please select&gt;","",'Q 3'!H53))</f>
        <v>0</v>
      </c>
    </row>
    <row r="290" spans="1:11" x14ac:dyDescent="0.3">
      <c r="A290" t="s">
        <v>1801</v>
      </c>
      <c r="B290" t="s">
        <v>1808</v>
      </c>
      <c r="C290">
        <v>0</v>
      </c>
      <c r="D290" t="s">
        <v>1447</v>
      </c>
      <c r="E290" t="s">
        <v>1809</v>
      </c>
      <c r="F290" t="s">
        <v>1748</v>
      </c>
      <c r="H290" s="165" t="str">
        <f>IF(ISBLANK('Q 3'!$F$58),"",IF('Q 3'!$F$58="&lt;please select&gt;","",'Q 3'!$F$58))</f>
        <v>0</v>
      </c>
    </row>
    <row r="291" spans="1:11" x14ac:dyDescent="0.3">
      <c r="A291" t="s">
        <v>1801</v>
      </c>
      <c r="B291" t="s">
        <v>1808</v>
      </c>
      <c r="C291">
        <v>0</v>
      </c>
      <c r="D291" t="s">
        <v>1447</v>
      </c>
      <c r="E291" t="s">
        <v>1810</v>
      </c>
      <c r="F291" t="s">
        <v>1748</v>
      </c>
      <c r="H291" s="165" t="str">
        <f>IF(ISBLANK('Q 3'!$F$59),"",IF('Q 3'!$F$59="&lt;please select&gt;","",'Q 3'!$F$59))</f>
        <v>0</v>
      </c>
    </row>
    <row r="292" spans="1:11" x14ac:dyDescent="0.3">
      <c r="A292" t="s">
        <v>1811</v>
      </c>
      <c r="B292" t="s">
        <v>1812</v>
      </c>
      <c r="C292">
        <v>1</v>
      </c>
      <c r="D292" t="s">
        <v>1447</v>
      </c>
      <c r="E292" t="s">
        <v>1813</v>
      </c>
      <c r="F292" t="s">
        <v>1748</v>
      </c>
      <c r="H292" s="165" t="str">
        <f>IF(ISBLANK('Q 3'!G64),"",IF('Q 3'!G64="&lt;please select&gt;","",'Q 3'!G64))</f>
        <v>2</v>
      </c>
    </row>
    <row r="293" spans="1:11" x14ac:dyDescent="0.3">
      <c r="A293" t="s">
        <v>1811</v>
      </c>
      <c r="B293" t="s">
        <v>1812</v>
      </c>
      <c r="C293">
        <v>2</v>
      </c>
      <c r="D293" t="s">
        <v>1447</v>
      </c>
      <c r="E293" t="s">
        <v>1813</v>
      </c>
      <c r="F293" t="s">
        <v>1748</v>
      </c>
      <c r="H293" s="165" t="str">
        <f>IF(ISBLANK('Q 3'!G65),"",IF('Q 3'!G65="&lt;please select&gt;","",'Q 3'!G65))</f>
        <v>2</v>
      </c>
    </row>
    <row r="294" spans="1:11" x14ac:dyDescent="0.3">
      <c r="A294" t="s">
        <v>1811</v>
      </c>
      <c r="B294" t="s">
        <v>1812</v>
      </c>
      <c r="C294">
        <v>3</v>
      </c>
      <c r="D294" t="s">
        <v>1447</v>
      </c>
      <c r="E294" t="s">
        <v>1813</v>
      </c>
      <c r="F294" t="s">
        <v>1748</v>
      </c>
      <c r="H294" s="165" t="str">
        <f>IF(ISBLANK('Q 3'!G66),"",IF('Q 3'!G66="&lt;please select&gt;","",'Q 3'!G66))</f>
        <v/>
      </c>
    </row>
    <row r="295" spans="1:11" x14ac:dyDescent="0.3">
      <c r="A295" t="s">
        <v>1811</v>
      </c>
      <c r="B295" t="s">
        <v>1812</v>
      </c>
      <c r="C295">
        <v>1</v>
      </c>
      <c r="D295" t="s">
        <v>1447</v>
      </c>
      <c r="E295" t="s">
        <v>1814</v>
      </c>
      <c r="F295" t="s">
        <v>1748</v>
      </c>
      <c r="H295" s="165" t="str">
        <f>IF(ISBLANK('Q 3'!H64),"",IF('Q 3'!H64="&lt;please select&gt;","",'Q 3'!H64))</f>
        <v>0</v>
      </c>
    </row>
    <row r="296" spans="1:11" x14ac:dyDescent="0.3">
      <c r="A296" t="s">
        <v>1811</v>
      </c>
      <c r="B296" t="s">
        <v>1812</v>
      </c>
      <c r="C296">
        <v>2</v>
      </c>
      <c r="D296" t="s">
        <v>1447</v>
      </c>
      <c r="E296" t="s">
        <v>1814</v>
      </c>
      <c r="F296" t="s">
        <v>1748</v>
      </c>
      <c r="H296" s="165" t="str">
        <f>IF(ISBLANK('Q 3'!H65),"",IF('Q 3'!H65="&lt;please select&gt;","",'Q 3'!H65))</f>
        <v>0</v>
      </c>
    </row>
    <row r="297" spans="1:11" x14ac:dyDescent="0.3">
      <c r="A297" t="s">
        <v>1811</v>
      </c>
      <c r="B297" t="s">
        <v>1812</v>
      </c>
      <c r="C297">
        <v>3</v>
      </c>
      <c r="D297" t="s">
        <v>1447</v>
      </c>
      <c r="E297" t="s">
        <v>1814</v>
      </c>
      <c r="F297" t="s">
        <v>1748</v>
      </c>
      <c r="H297" s="165" t="str">
        <f>IF(ISBLANK('Q 3'!H66),"",IF('Q 3'!H66="&lt;please select&gt;","",'Q 3'!H66))</f>
        <v/>
      </c>
    </row>
    <row r="298" spans="1:11" x14ac:dyDescent="0.3">
      <c r="A298" t="s">
        <v>1811</v>
      </c>
      <c r="B298" t="s">
        <v>1812</v>
      </c>
      <c r="C298">
        <v>1</v>
      </c>
      <c r="D298" t="s">
        <v>1447</v>
      </c>
      <c r="E298" t="s">
        <v>1815</v>
      </c>
      <c r="F298" t="s">
        <v>1748</v>
      </c>
      <c r="H298" s="165" t="str">
        <f>IF(ISBLANK('Q 3'!I64),"",IF('Q 3'!I64="&lt;please select&gt;","",'Q 3'!I64))</f>
        <v>2</v>
      </c>
    </row>
    <row r="299" spans="1:11" x14ac:dyDescent="0.3">
      <c r="A299" t="s">
        <v>1811</v>
      </c>
      <c r="B299" t="s">
        <v>1812</v>
      </c>
      <c r="C299">
        <v>2</v>
      </c>
      <c r="D299" t="s">
        <v>1447</v>
      </c>
      <c r="E299" t="s">
        <v>1815</v>
      </c>
      <c r="F299" t="s">
        <v>1748</v>
      </c>
      <c r="H299" s="165" t="str">
        <f>IF(ISBLANK('Q 3'!I65),"",IF('Q 3'!I65="&lt;please select&gt;","",'Q 3'!I65))</f>
        <v>2</v>
      </c>
    </row>
    <row r="300" spans="1:11" x14ac:dyDescent="0.3">
      <c r="A300" t="s">
        <v>1811</v>
      </c>
      <c r="B300" t="s">
        <v>1812</v>
      </c>
      <c r="C300">
        <v>3</v>
      </c>
      <c r="D300" t="s">
        <v>1447</v>
      </c>
      <c r="E300" t="s">
        <v>1815</v>
      </c>
      <c r="F300" t="s">
        <v>1748</v>
      </c>
      <c r="H300" s="165" t="str">
        <f>IF(ISBLANK('Q 3'!I66),"",IF('Q 3'!I66="&lt;please select&gt;","",'Q 3'!I66))</f>
        <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No</v>
      </c>
    </row>
    <row r="303" spans="1:11" x14ac:dyDescent="0.3">
      <c r="A303" t="s">
        <v>1816</v>
      </c>
      <c r="B303" t="s">
        <v>1817</v>
      </c>
      <c r="C303">
        <v>3</v>
      </c>
      <c r="D303" t="s">
        <v>1447</v>
      </c>
      <c r="E303" t="s">
        <v>1818</v>
      </c>
      <c r="F303" t="s">
        <v>1737</v>
      </c>
      <c r="K303" t="str">
        <f>IF(ISBLANK('Q 4'!$G10),"",IF('Q 4'!$G10="&lt;please select&gt;","",'Q 4'!$G10))</f>
        <v>No</v>
      </c>
    </row>
    <row r="304" spans="1:11" x14ac:dyDescent="0.3">
      <c r="A304" t="s">
        <v>1816</v>
      </c>
      <c r="B304" t="s">
        <v>1817</v>
      </c>
      <c r="C304">
        <v>4</v>
      </c>
      <c r="D304" t="s">
        <v>1447</v>
      </c>
      <c r="E304" t="s">
        <v>1818</v>
      </c>
      <c r="F304" t="s">
        <v>1737</v>
      </c>
      <c r="K304" t="str">
        <f>IF(ISBLANK('Q 4'!$G11),"",IF('Q 4'!$G11="&lt;please select&gt;","",'Q 4'!$G11))</f>
        <v>No</v>
      </c>
    </row>
    <row r="305" spans="1:11" x14ac:dyDescent="0.3">
      <c r="A305" t="s">
        <v>1816</v>
      </c>
      <c r="B305" t="s">
        <v>1817</v>
      </c>
      <c r="C305">
        <v>5</v>
      </c>
      <c r="D305" t="s">
        <v>1447</v>
      </c>
      <c r="E305" t="s">
        <v>1818</v>
      </c>
      <c r="F305" t="s">
        <v>1737</v>
      </c>
      <c r="K305" t="str">
        <f>IF(ISBLANK('Q 4'!$G12),"",IF('Q 4'!$G12="&lt;please select&gt;","",'Q 4'!$G12))</f>
        <v>No</v>
      </c>
    </row>
    <row r="306" spans="1:11" x14ac:dyDescent="0.3">
      <c r="A306" t="s">
        <v>1816</v>
      </c>
      <c r="B306" t="s">
        <v>1817</v>
      </c>
      <c r="C306">
        <v>6</v>
      </c>
      <c r="D306" t="s">
        <v>1447</v>
      </c>
      <c r="E306" t="s">
        <v>1818</v>
      </c>
      <c r="F306" t="s">
        <v>1737</v>
      </c>
      <c r="K306" t="str">
        <f>IF(ISBLANK('Q 4'!$G13),"",IF('Q 4'!$G13="&lt;please select&gt;","",'Q 4'!$G13))</f>
        <v>No</v>
      </c>
    </row>
    <row r="307" spans="1:11" x14ac:dyDescent="0.3">
      <c r="A307" t="s">
        <v>1816</v>
      </c>
      <c r="B307" t="s">
        <v>1817</v>
      </c>
      <c r="C307">
        <v>7</v>
      </c>
      <c r="D307" t="s">
        <v>1447</v>
      </c>
      <c r="E307" t="s">
        <v>1818</v>
      </c>
      <c r="F307" t="s">
        <v>1737</v>
      </c>
      <c r="K307" t="str">
        <f>IF(ISBLANK('Q 4'!$G14),"",IF('Q 4'!$G14="&lt;please select&gt;","",'Q 4'!$G14))</f>
        <v>No</v>
      </c>
    </row>
    <row r="308" spans="1:11" x14ac:dyDescent="0.3">
      <c r="A308" t="s">
        <v>1816</v>
      </c>
      <c r="B308" t="s">
        <v>1817</v>
      </c>
      <c r="C308">
        <v>8</v>
      </c>
      <c r="D308" t="s">
        <v>1447</v>
      </c>
      <c r="E308" t="s">
        <v>1818</v>
      </c>
      <c r="F308" t="s">
        <v>1737</v>
      </c>
      <c r="K308" t="str">
        <f>IF(ISBLANK('Q 4'!$G15),"",IF('Q 4'!$G15="&lt;please select&gt;","",'Q 4'!$G15))</f>
        <v>No</v>
      </c>
    </row>
    <row r="309" spans="1:11" x14ac:dyDescent="0.3">
      <c r="A309" t="s">
        <v>1816</v>
      </c>
      <c r="B309" t="s">
        <v>1817</v>
      </c>
      <c r="C309">
        <v>1</v>
      </c>
      <c r="D309" t="s">
        <v>1447</v>
      </c>
      <c r="E309" t="s">
        <v>1819</v>
      </c>
      <c r="F309" t="s">
        <v>1791</v>
      </c>
      <c r="J309" t="str">
        <f>IF(ISBLANK('Q 4'!H8),"",IF('Q 4'!H8="&lt;please select&gt;","",'Q 4'!H8))</f>
        <v/>
      </c>
    </row>
    <row r="310" spans="1:11" x14ac:dyDescent="0.3">
      <c r="A310" t="s">
        <v>1816</v>
      </c>
      <c r="B310" t="s">
        <v>1817</v>
      </c>
      <c r="C310">
        <v>2</v>
      </c>
      <c r="D310" t="s">
        <v>1447</v>
      </c>
      <c r="E310" t="s">
        <v>1819</v>
      </c>
      <c r="F310" t="s">
        <v>1791</v>
      </c>
      <c r="J310" t="str">
        <f>IF(ISBLANK('Q 4'!H9),"",IF('Q 4'!H9="&lt;please select&gt;","",'Q 4'!H9))</f>
        <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
      </c>
    </row>
    <row r="313" spans="1:11" x14ac:dyDescent="0.3">
      <c r="A313" t="s">
        <v>1816</v>
      </c>
      <c r="B313" t="s">
        <v>1817</v>
      </c>
      <c r="C313">
        <v>5</v>
      </c>
      <c r="D313" t="s">
        <v>1447</v>
      </c>
      <c r="E313" t="s">
        <v>1819</v>
      </c>
      <c r="F313" t="s">
        <v>1791</v>
      </c>
      <c r="J313" t="str">
        <f>IF(ISBLANK('Q 4'!H12),"",IF('Q 4'!H12="&lt;please select&gt;","",'Q 4'!H12))</f>
        <v>IED regulators do not carry inspections of EU ETS. An inspection carriečd by CIZP may focuss both on IED and EU ETS.</v>
      </c>
    </row>
    <row r="314" spans="1:11" x14ac:dyDescent="0.3">
      <c r="A314" t="s">
        <v>1816</v>
      </c>
      <c r="B314" t="s">
        <v>1817</v>
      </c>
      <c r="C314">
        <v>6</v>
      </c>
      <c r="D314" t="s">
        <v>1447</v>
      </c>
      <c r="E314" t="s">
        <v>1819</v>
      </c>
      <c r="F314" t="s">
        <v>1791</v>
      </c>
      <c r="J314" t="str">
        <f>IF(ISBLANK('Q 4'!H13),"",IF('Q 4'!H13="&lt;please select&gt;","",'Q 4'!H13))</f>
        <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
      </c>
    </row>
    <row r="317" spans="1:11" x14ac:dyDescent="0.3">
      <c r="A317" t="s">
        <v>1820</v>
      </c>
      <c r="B317" t="s">
        <v>1821</v>
      </c>
      <c r="C317">
        <v>1</v>
      </c>
      <c r="D317" t="s">
        <v>1447</v>
      </c>
      <c r="E317" t="s">
        <v>1822</v>
      </c>
      <c r="F317" t="s">
        <v>1741</v>
      </c>
      <c r="G317" t="str">
        <f>IF(ISBLANK('Q 4'!G19),"",IF('Q 4'!G19="&lt;please select&gt;","",'Q 4'!G19))</f>
        <v>serious breach of operator's duties, not using the permit for more than 2 years without particular reason, operator's own request, cessation in sense of Art. 22(1)(d, e) of Commission Decision No. 2011/278/EU, change of conditions decisive for the issuance of the permit</v>
      </c>
    </row>
    <row r="318" spans="1:11" x14ac:dyDescent="0.3">
      <c r="A318" t="s">
        <v>1820</v>
      </c>
      <c r="B318" t="s">
        <v>1821</v>
      </c>
      <c r="C318">
        <v>2</v>
      </c>
      <c r="D318" t="s">
        <v>1447</v>
      </c>
      <c r="E318" t="s">
        <v>1822</v>
      </c>
      <c r="F318" t="s">
        <v>1741</v>
      </c>
      <c r="G318" t="str">
        <f>IF(ISBLANK('Q 4'!G20),"",IF('Q 4'!G20="&lt;please select&gt;","",'Q 4'!G20))</f>
        <v>no (permit is not time-limited)</v>
      </c>
    </row>
    <row r="319" spans="1:11" x14ac:dyDescent="0.3">
      <c r="A319" t="s">
        <v>1820</v>
      </c>
      <c r="B319" t="s">
        <v>1821</v>
      </c>
      <c r="C319">
        <v>3</v>
      </c>
      <c r="D319" t="s">
        <v>1447</v>
      </c>
      <c r="E319" t="s">
        <v>1822</v>
      </c>
      <c r="F319" t="s">
        <v>1741</v>
      </c>
      <c r="G319" t="str">
        <f>IF(ISBLANK('Q 4'!G21),"",IF('Q 4'!G21="&lt;please select&gt;","",'Q 4'!G21))</f>
        <v>always, if the production capacity or the rated thermal output changes</v>
      </c>
    </row>
    <row r="320" spans="1:11" x14ac:dyDescent="0.3">
      <c r="A320" t="s">
        <v>1820</v>
      </c>
      <c r="B320" t="s">
        <v>1821</v>
      </c>
      <c r="C320">
        <v>4</v>
      </c>
      <c r="D320" t="s">
        <v>1447</v>
      </c>
      <c r="E320" t="s">
        <v>1822</v>
      </c>
      <c r="F320" t="s">
        <v>1741</v>
      </c>
      <c r="G320" t="str">
        <f>IF(ISBLANK('Q 4'!G22),"",IF('Q 4'!G22="&lt;please select&gt;","",'Q 4'!G22))</f>
        <v>always, if the production capacity or the rated thermal output changes</v>
      </c>
    </row>
    <row r="321" spans="1:11" x14ac:dyDescent="0.3">
      <c r="A321" t="s">
        <v>1820</v>
      </c>
      <c r="B321" t="s">
        <v>1821</v>
      </c>
      <c r="C321">
        <v>5</v>
      </c>
      <c r="D321" t="s">
        <v>1447</v>
      </c>
      <c r="E321" t="s">
        <v>1822</v>
      </c>
      <c r="F321" t="s">
        <v>1741</v>
      </c>
      <c r="G321" t="str">
        <f>IF(ISBLANK('Q 4'!G23),"",IF('Q 4'!G23="&lt;please select&gt;","",'Q 4'!G23))</f>
        <v>always, if a significant modification to the monitoring plan occurs</v>
      </c>
    </row>
    <row r="322" spans="1:11" x14ac:dyDescent="0.3">
      <c r="A322" t="s">
        <v>1820</v>
      </c>
      <c r="B322" t="s">
        <v>1821</v>
      </c>
      <c r="C322">
        <v>6</v>
      </c>
      <c r="D322" t="s">
        <v>1447</v>
      </c>
      <c r="E322" t="s">
        <v>1822</v>
      </c>
      <c r="F322" t="s">
        <v>1741</v>
      </c>
      <c r="G322" t="str">
        <f>IF(ISBLANK('Q 4'!G24),"",IF('Q 4'!G24="&lt;please select&gt;","",'Q 4'!G24))</f>
        <v>in case of changed identity or contact information of an installation operator</v>
      </c>
    </row>
    <row r="323" spans="1:11" x14ac:dyDescent="0.3">
      <c r="A323" t="s">
        <v>1820</v>
      </c>
      <c r="B323" t="s">
        <v>1821</v>
      </c>
      <c r="C323">
        <v>7</v>
      </c>
      <c r="D323" t="s">
        <v>1447</v>
      </c>
      <c r="E323" t="s">
        <v>1822</v>
      </c>
      <c r="F323" t="s">
        <v>1741</v>
      </c>
      <c r="G323" t="str">
        <f>IF(ISBLANK('Q 4'!G25),"",IF('Q 4'!G25="&lt;please select&gt;","",'Q 4'!G25))</f>
        <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69</v>
      </c>
    </row>
    <row r="327" spans="1:11" x14ac:dyDescent="0.3">
      <c r="A327" t="s">
        <v>1824</v>
      </c>
      <c r="B327" t="s">
        <v>1825</v>
      </c>
      <c r="C327">
        <v>0</v>
      </c>
      <c r="D327" t="s">
        <v>1447</v>
      </c>
      <c r="E327" t="s">
        <v>1825</v>
      </c>
      <c r="F327" t="s">
        <v>1759</v>
      </c>
      <c r="K327" t="str">
        <f>IF(ISBLANK('Q 5'!$I$6),"",IF('Q 5'!$I$6="&lt;please select&gt;","",'Q 5'!$I$6))</f>
        <v>Yes</v>
      </c>
    </row>
    <row r="328" spans="1:11" x14ac:dyDescent="0.3">
      <c r="A328" t="s">
        <v>1824</v>
      </c>
      <c r="B328" t="s">
        <v>1826</v>
      </c>
      <c r="C328">
        <v>0</v>
      </c>
      <c r="D328" t="s">
        <v>1447</v>
      </c>
      <c r="E328" t="s">
        <v>1826</v>
      </c>
      <c r="F328" t="s">
        <v>1741</v>
      </c>
      <c r="G328" t="str">
        <f>IF(ISBLANK('Q 5'!$C$8),"",IF('Q 5'!$C$8="&lt;please select&gt;","",'Q 5'!$C$8))</f>
        <v>Act No. 383/2012 Coll., On Condiotions of Emission Trading, review No. 1/2020 Coll. Regulation of the Ministry of the
Environment No. 192/2013 Coll. (new installation permit form and aviation free allocation request form)</v>
      </c>
    </row>
    <row r="329" spans="1:11" x14ac:dyDescent="0.3">
      <c r="A329" t="s">
        <v>1824</v>
      </c>
      <c r="B329" t="s">
        <v>1827</v>
      </c>
      <c r="C329">
        <v>0</v>
      </c>
      <c r="D329" t="s">
        <v>1447</v>
      </c>
      <c r="E329" t="s">
        <v>1827</v>
      </c>
      <c r="F329" t="s">
        <v>1759</v>
      </c>
      <c r="K329" t="str">
        <f>IF(ISBLANK('Q 5'!$I$10),"",IF('Q 5'!$I$10="&lt;please select&gt;","",'Q 5'!$I$10))</f>
        <v>Yes</v>
      </c>
    </row>
    <row r="330" spans="1:11" x14ac:dyDescent="0.3">
      <c r="A330" t="s">
        <v>1824</v>
      </c>
      <c r="B330" t="s">
        <v>1828</v>
      </c>
      <c r="C330">
        <v>0</v>
      </c>
      <c r="D330" t="s">
        <v>1447</v>
      </c>
      <c r="E330" t="s">
        <v>1828</v>
      </c>
      <c r="F330" t="s">
        <v>1741</v>
      </c>
      <c r="G330" t="str">
        <f>IF(ISBLANK('Q 5'!$C$12),"",IF('Q 5'!$C$12="&lt;please select&gt;","",'Q 5'!$C$12))</f>
        <v>Guidance on the uncertainty assessment</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Yes</v>
      </c>
    </row>
    <row r="333" spans="1:11" x14ac:dyDescent="0.3">
      <c r="A333" t="s">
        <v>1829</v>
      </c>
      <c r="B333" t="s">
        <v>1830</v>
      </c>
      <c r="C333">
        <v>3</v>
      </c>
      <c r="D333" t="s">
        <v>1447</v>
      </c>
      <c r="E333" t="s">
        <v>1831</v>
      </c>
      <c r="F333" t="s">
        <v>1759</v>
      </c>
      <c r="K333" t="str">
        <f>IF(ISBLANK('Q 5'!G18),"",IF('Q 5'!G18="&lt;please select&gt;","",'Q 5'!G18))</f>
        <v>No</v>
      </c>
    </row>
    <row r="334" spans="1:11" x14ac:dyDescent="0.3">
      <c r="A334" t="s">
        <v>1829</v>
      </c>
      <c r="B334" t="s">
        <v>1830</v>
      </c>
      <c r="C334">
        <v>4</v>
      </c>
      <c r="D334" t="s">
        <v>1447</v>
      </c>
      <c r="E334" t="s">
        <v>1831</v>
      </c>
      <c r="F334" t="s">
        <v>1759</v>
      </c>
      <c r="K334" t="str">
        <f>IF(ISBLANK('Q 5'!G19),"",IF('Q 5'!G19="&lt;please select&gt;","",'Q 5'!G19))</f>
        <v>Yes</v>
      </c>
    </row>
    <row r="335" spans="1:11" x14ac:dyDescent="0.3">
      <c r="A335" t="s">
        <v>1829</v>
      </c>
      <c r="B335" t="s">
        <v>1830</v>
      </c>
      <c r="C335">
        <v>5</v>
      </c>
      <c r="D335" t="s">
        <v>1447</v>
      </c>
      <c r="E335" t="s">
        <v>1831</v>
      </c>
      <c r="F335" t="s">
        <v>1759</v>
      </c>
      <c r="K335" t="str">
        <f>IF(ISBLANK('Q 5'!G20),"",IF('Q 5'!G20="&lt;please select&gt;","",'Q 5'!G20))</f>
        <v>No</v>
      </c>
    </row>
    <row r="336" spans="1:11" x14ac:dyDescent="0.3">
      <c r="A336" t="s">
        <v>1829</v>
      </c>
      <c r="B336" t="s">
        <v>1830</v>
      </c>
      <c r="C336">
        <v>6</v>
      </c>
      <c r="D336" t="s">
        <v>1447</v>
      </c>
      <c r="E336" t="s">
        <v>1831</v>
      </c>
      <c r="F336" t="s">
        <v>1759</v>
      </c>
      <c r="K336" t="str">
        <f>IF(ISBLANK('Q 5'!G21),"",IF('Q 5'!G21="&lt;please select&gt;","",'Q 5'!G21))</f>
        <v>No</v>
      </c>
    </row>
    <row r="337" spans="1:11" x14ac:dyDescent="0.3">
      <c r="A337" t="s">
        <v>1829</v>
      </c>
      <c r="B337" t="s">
        <v>1830</v>
      </c>
      <c r="C337">
        <v>7</v>
      </c>
      <c r="D337" t="s">
        <v>1447</v>
      </c>
      <c r="E337" t="s">
        <v>1831</v>
      </c>
      <c r="F337" t="s">
        <v>1759</v>
      </c>
      <c r="K337" t="str">
        <f>IF(ISBLANK('Q 5'!G22),"",IF('Q 5'!G22="&lt;please select&gt;","",'Q 5'!G22))</f>
        <v>No</v>
      </c>
    </row>
    <row r="338" spans="1:11" x14ac:dyDescent="0.3">
      <c r="A338" t="s">
        <v>1829</v>
      </c>
      <c r="B338" t="s">
        <v>1830</v>
      </c>
      <c r="C338">
        <v>1</v>
      </c>
      <c r="D338" t="s">
        <v>1447</v>
      </c>
      <c r="E338" t="s">
        <v>1832</v>
      </c>
      <c r="F338" t="s">
        <v>1791</v>
      </c>
      <c r="J338" t="str">
        <f>IF(ISBLANK('Q 5'!H16),"",IF('Q 5'!H16="&lt;please select&gt;","",'Q 5'!H16))</f>
        <v>Communication and coordination with the Czech Hydrometeorological Institute (CHMI)</v>
      </c>
    </row>
    <row r="339" spans="1:11" x14ac:dyDescent="0.3">
      <c r="A339" t="s">
        <v>1829</v>
      </c>
      <c r="B339" t="s">
        <v>1830</v>
      </c>
      <c r="C339">
        <v>2</v>
      </c>
      <c r="D339" t="s">
        <v>1447</v>
      </c>
      <c r="E339" t="s">
        <v>1832</v>
      </c>
      <c r="F339" t="s">
        <v>1791</v>
      </c>
      <c r="J339" t="str">
        <f>IF(ISBLANK('Q 5'!H17),"",IF('Q 5'!H17="&lt;please select&gt;","",'Q 5'!H17))</f>
        <v/>
      </c>
    </row>
    <row r="340" spans="1:11" x14ac:dyDescent="0.3">
      <c r="A340" t="s">
        <v>1829</v>
      </c>
      <c r="B340" t="s">
        <v>1830</v>
      </c>
      <c r="C340">
        <v>3</v>
      </c>
      <c r="D340" t="s">
        <v>1447</v>
      </c>
      <c r="E340" t="s">
        <v>1832</v>
      </c>
      <c r="F340" t="s">
        <v>1791</v>
      </c>
      <c r="J340" t="str">
        <f>IF(ISBLANK('Q 5'!H18),"",IF('Q 5'!H18="&lt;please select&gt;","",'Q 5'!H18))</f>
        <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
      </c>
    </row>
    <row r="343" spans="1:11" x14ac:dyDescent="0.3">
      <c r="A343" t="s">
        <v>1829</v>
      </c>
      <c r="B343" t="s">
        <v>1830</v>
      </c>
      <c r="C343">
        <v>6</v>
      </c>
      <c r="D343" t="s">
        <v>1447</v>
      </c>
      <c r="E343" t="s">
        <v>1832</v>
      </c>
      <c r="F343" t="s">
        <v>1791</v>
      </c>
      <c r="J343" t="str">
        <f>IF(ISBLANK('Q 5'!H21),"",IF('Q 5'!H21="&lt;please select&gt;","",'Q 5'!H21))</f>
        <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Yes</v>
      </c>
    </row>
    <row r="346" spans="1:11" x14ac:dyDescent="0.3">
      <c r="A346" t="s">
        <v>1833</v>
      </c>
      <c r="B346" t="s">
        <v>1835</v>
      </c>
      <c r="C346">
        <v>1</v>
      </c>
      <c r="D346" t="s">
        <v>1447</v>
      </c>
      <c r="E346" t="s">
        <v>1836</v>
      </c>
      <c r="F346" t="s">
        <v>1737</v>
      </c>
      <c r="K346" t="str">
        <f>IF(ISBLANK('Q 5'!F28),"",IF('Q 5'!F28="&lt;please select&gt;","",'Q 5'!F28))</f>
        <v/>
      </c>
    </row>
    <row r="347" spans="1:11" x14ac:dyDescent="0.3">
      <c r="A347" t="s">
        <v>1833</v>
      </c>
      <c r="B347" t="s">
        <v>1835</v>
      </c>
      <c r="C347">
        <v>2</v>
      </c>
      <c r="D347" t="s">
        <v>1447</v>
      </c>
      <c r="E347" t="s">
        <v>1836</v>
      </c>
      <c r="F347" t="s">
        <v>1737</v>
      </c>
      <c r="K347" t="str">
        <f>IF(ISBLANK('Q 5'!F29),"",IF('Q 5'!F29="&lt;please select&gt;","",'Q 5'!F29))</f>
        <v/>
      </c>
    </row>
    <row r="348" spans="1:11" x14ac:dyDescent="0.3">
      <c r="A348" t="s">
        <v>1833</v>
      </c>
      <c r="B348" t="s">
        <v>1835</v>
      </c>
      <c r="C348">
        <v>3</v>
      </c>
      <c r="D348" t="s">
        <v>1447</v>
      </c>
      <c r="E348" t="s">
        <v>1836</v>
      </c>
      <c r="F348" t="s">
        <v>1737</v>
      </c>
      <c r="K348" t="str">
        <f>IF(ISBLANK('Q 5'!F30),"",IF('Q 5'!F30="&lt;please select&gt;","",'Q 5'!F30))</f>
        <v/>
      </c>
    </row>
    <row r="349" spans="1:11" x14ac:dyDescent="0.3">
      <c r="A349" t="s">
        <v>1833</v>
      </c>
      <c r="B349" t="s">
        <v>1835</v>
      </c>
      <c r="C349">
        <v>4</v>
      </c>
      <c r="D349" t="s">
        <v>1447</v>
      </c>
      <c r="E349" t="s">
        <v>1836</v>
      </c>
      <c r="F349" t="s">
        <v>1737</v>
      </c>
      <c r="K349" t="str">
        <f>IF(ISBLANK('Q 5'!F31),"",IF('Q 5'!F31="&lt;please select&gt;","",'Q 5'!F31))</f>
        <v/>
      </c>
    </row>
    <row r="350" spans="1:11" x14ac:dyDescent="0.3">
      <c r="A350" t="s">
        <v>1833</v>
      </c>
      <c r="B350" t="s">
        <v>1835</v>
      </c>
      <c r="C350">
        <v>1</v>
      </c>
      <c r="D350" t="s">
        <v>1447</v>
      </c>
      <c r="E350" t="s">
        <v>1837</v>
      </c>
      <c r="F350" t="s">
        <v>1741</v>
      </c>
      <c r="G350" t="str">
        <f>IF(ISBLANK('Q 5'!H28),"",IF('Q 5'!H28="&lt;please select&gt;","",'Q 5'!H28))</f>
        <v/>
      </c>
    </row>
    <row r="351" spans="1:11" x14ac:dyDescent="0.3">
      <c r="A351" t="s">
        <v>1833</v>
      </c>
      <c r="B351" t="s">
        <v>1835</v>
      </c>
      <c r="C351">
        <v>2</v>
      </c>
      <c r="D351" t="s">
        <v>1447</v>
      </c>
      <c r="E351" t="s">
        <v>1837</v>
      </c>
      <c r="F351" t="s">
        <v>1741</v>
      </c>
      <c r="G351" t="str">
        <f>IF(ISBLANK('Q 5'!H29),"",IF('Q 5'!H29="&lt;please select&gt;","",'Q 5'!H29))</f>
        <v/>
      </c>
    </row>
    <row r="352" spans="1:11" x14ac:dyDescent="0.3">
      <c r="A352" t="s">
        <v>1833</v>
      </c>
      <c r="B352" t="s">
        <v>1835</v>
      </c>
      <c r="C352">
        <v>3</v>
      </c>
      <c r="D352" t="s">
        <v>1447</v>
      </c>
      <c r="E352" t="s">
        <v>1837</v>
      </c>
      <c r="F352" t="s">
        <v>1741</v>
      </c>
      <c r="G352" t="str">
        <f>IF(ISBLANK('Q 5'!H30),"",IF('Q 5'!H30="&lt;please select&gt;","",'Q 5'!H30))</f>
        <v/>
      </c>
    </row>
    <row r="353" spans="1:11" x14ac:dyDescent="0.3">
      <c r="A353" t="s">
        <v>1833</v>
      </c>
      <c r="B353" t="s">
        <v>1835</v>
      </c>
      <c r="C353">
        <v>4</v>
      </c>
      <c r="D353" t="s">
        <v>1447</v>
      </c>
      <c r="E353" t="s">
        <v>1837</v>
      </c>
      <c r="F353" t="s">
        <v>1741</v>
      </c>
      <c r="G353" t="str">
        <f>IF(ISBLANK('Q 5'!H31),"",IF('Q 5'!H31="&lt;please select&gt;","",'Q 5'!H31))</f>
        <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
      </c>
    </row>
    <row r="359" spans="1:11" x14ac:dyDescent="0.3">
      <c r="A359" t="s">
        <v>1833</v>
      </c>
      <c r="B359" t="s">
        <v>1838</v>
      </c>
      <c r="C359">
        <v>2</v>
      </c>
      <c r="D359" t="s">
        <v>1447</v>
      </c>
      <c r="E359" t="s">
        <v>1837</v>
      </c>
      <c r="F359" t="s">
        <v>1741</v>
      </c>
      <c r="G359" t="str">
        <f>IF(ISBLANK('Q 5'!H36),"",IF('Q 5'!H36="&lt;please select&gt;","",'Q 5'!H36))</f>
        <v/>
      </c>
    </row>
    <row r="360" spans="1:11" x14ac:dyDescent="0.3">
      <c r="A360" t="s">
        <v>1833</v>
      </c>
      <c r="B360" t="s">
        <v>1838</v>
      </c>
      <c r="C360">
        <v>3</v>
      </c>
      <c r="D360" t="s">
        <v>1447</v>
      </c>
      <c r="E360" t="s">
        <v>1837</v>
      </c>
      <c r="F360" t="s">
        <v>1741</v>
      </c>
      <c r="G360" t="str">
        <f>IF(ISBLANK('Q 5'!H37),"",IF('Q 5'!H37="&lt;please select&gt;","",'Q 5'!H37))</f>
        <v/>
      </c>
    </row>
    <row r="361" spans="1:11" x14ac:dyDescent="0.3">
      <c r="A361" t="s">
        <v>1833</v>
      </c>
      <c r="B361" t="s">
        <v>1838</v>
      </c>
      <c r="C361">
        <v>4</v>
      </c>
      <c r="D361" t="s">
        <v>1447</v>
      </c>
      <c r="E361" t="s">
        <v>1837</v>
      </c>
      <c r="F361" t="s">
        <v>1741</v>
      </c>
      <c r="G361" t="str">
        <f>IF(ISBLANK('Q 5'!H38),"",IF('Q 5'!H38="&lt;please select&gt;","",'Q 5'!H38))</f>
        <v/>
      </c>
    </row>
    <row r="362" spans="1:11" x14ac:dyDescent="0.3">
      <c r="A362" t="s">
        <v>1833</v>
      </c>
      <c r="B362" t="s">
        <v>1839</v>
      </c>
      <c r="C362">
        <v>0</v>
      </c>
      <c r="D362" t="s">
        <v>1447</v>
      </c>
      <c r="E362" t="s">
        <v>1839</v>
      </c>
      <c r="F362" t="s">
        <v>1741</v>
      </c>
      <c r="G362" t="str">
        <f>IF(ISBLANK('Q 5'!$C$42),"",IF('Q 5'!$C$42="&lt;please select&gt;","",'Q 5'!$C$42))</f>
        <v/>
      </c>
    </row>
    <row r="363" spans="1:11" x14ac:dyDescent="0.3">
      <c r="A363" t="s">
        <v>1840</v>
      </c>
      <c r="B363" t="s">
        <v>1841</v>
      </c>
      <c r="C363">
        <v>0</v>
      </c>
      <c r="D363" t="s">
        <v>1447</v>
      </c>
      <c r="E363" t="s">
        <v>1841</v>
      </c>
      <c r="F363" t="s">
        <v>1759</v>
      </c>
      <c r="K363" t="str">
        <f>IF(ISBLANK('Q 5'!$I$45),"",IF('Q 5'!$I$45="&lt;please select&gt;","",'Q 5'!$I$45))</f>
        <v>No</v>
      </c>
    </row>
    <row r="364" spans="1:11" x14ac:dyDescent="0.3">
      <c r="A364" t="s">
        <v>1840</v>
      </c>
      <c r="B364" t="s">
        <v>1842</v>
      </c>
      <c r="C364">
        <v>0</v>
      </c>
      <c r="D364" t="s">
        <v>1447</v>
      </c>
      <c r="E364" t="s">
        <v>1842</v>
      </c>
      <c r="F364" t="s">
        <v>1741</v>
      </c>
      <c r="G364" t="str">
        <f>IF(ISBLANK('Q 5'!$C$47),"",IF('Q 5'!$C$47="&lt;please select&gt;","",'Q 5'!$C$47))</f>
        <v/>
      </c>
    </row>
    <row r="365" spans="1:11" x14ac:dyDescent="0.3">
      <c r="A365" t="s">
        <v>1843</v>
      </c>
      <c r="B365" t="s">
        <v>1844</v>
      </c>
      <c r="C365">
        <v>1</v>
      </c>
      <c r="D365" t="s">
        <v>1447</v>
      </c>
      <c r="E365" t="s">
        <v>1845</v>
      </c>
      <c r="F365" t="s">
        <v>1806</v>
      </c>
      <c r="I365" t="str">
        <f>IF(ISBLANK('Q 5'!F53),"",IF('Q 5'!F53="&lt;please select&gt;","",'Q 5'!F53))</f>
        <v>43910.1784877647</v>
      </c>
    </row>
    <row r="366" spans="1:11" x14ac:dyDescent="0.3">
      <c r="A366" t="s">
        <v>1843</v>
      </c>
      <c r="B366" t="s">
        <v>1844</v>
      </c>
      <c r="C366">
        <v>2</v>
      </c>
      <c r="D366" t="s">
        <v>1447</v>
      </c>
      <c r="E366" t="s">
        <v>1845</v>
      </c>
      <c r="F366" t="s">
        <v>1806</v>
      </c>
      <c r="I366" t="str">
        <f>IF(ISBLANK('Q 5'!F54),"",IF('Q 5'!F54="&lt;please select&gt;","",'Q 5'!F54))</f>
        <v>348699.959013455</v>
      </c>
    </row>
    <row r="367" spans="1:11" x14ac:dyDescent="0.3">
      <c r="A367" t="s">
        <v>1843</v>
      </c>
      <c r="B367" t="s">
        <v>1844</v>
      </c>
      <c r="C367">
        <v>3</v>
      </c>
      <c r="D367" t="s">
        <v>1447</v>
      </c>
      <c r="E367" t="s">
        <v>1845</v>
      </c>
      <c r="F367" t="s">
        <v>1806</v>
      </c>
      <c r="I367" t="str">
        <f>IF(ISBLANK('Q 5'!F55),"",IF('Q 5'!F55="&lt;please select&gt;","",'Q 5'!F55))</f>
        <v/>
      </c>
    </row>
    <row r="368" spans="1:11" x14ac:dyDescent="0.3">
      <c r="A368" t="s">
        <v>1843</v>
      </c>
      <c r="B368" t="s">
        <v>1844</v>
      </c>
      <c r="C368">
        <v>4</v>
      </c>
      <c r="D368" t="s">
        <v>1447</v>
      </c>
      <c r="E368" t="s">
        <v>1845</v>
      </c>
      <c r="F368" t="s">
        <v>1806</v>
      </c>
      <c r="I368" t="str">
        <f>IF(ISBLANK('Q 5'!F56),"",IF('Q 5'!F56="&lt;please select&gt;","",'Q 5'!F56))</f>
        <v>10139.0873490629</v>
      </c>
    </row>
    <row r="369" spans="1:9" x14ac:dyDescent="0.3">
      <c r="A369" t="s">
        <v>1843</v>
      </c>
      <c r="B369" t="s">
        <v>1844</v>
      </c>
      <c r="C369">
        <v>5</v>
      </c>
      <c r="D369" t="s">
        <v>1447</v>
      </c>
      <c r="E369" t="s">
        <v>1845</v>
      </c>
      <c r="F369" t="s">
        <v>1806</v>
      </c>
      <c r="I369" t="str">
        <f>IF(ISBLANK('Q 5'!F57),"",IF('Q 5'!F57="&lt;please select&gt;","",'Q 5'!F57))</f>
        <v>99405.6212609359</v>
      </c>
    </row>
    <row r="370" spans="1:9" x14ac:dyDescent="0.3">
      <c r="A370" t="s">
        <v>1843</v>
      </c>
      <c r="B370" t="s">
        <v>1844</v>
      </c>
      <c r="C370">
        <v>6</v>
      </c>
      <c r="D370" t="s">
        <v>1447</v>
      </c>
      <c r="E370" t="s">
        <v>1845</v>
      </c>
      <c r="F370" t="s">
        <v>1806</v>
      </c>
      <c r="I370" t="str">
        <f>IF(ISBLANK('Q 5'!F58),"",IF('Q 5'!F58="&lt;please select&gt;","",'Q 5'!F58))</f>
        <v>18545.1499916304</v>
      </c>
    </row>
    <row r="371" spans="1:9" x14ac:dyDescent="0.3">
      <c r="A371" t="s">
        <v>1843</v>
      </c>
      <c r="B371" t="s">
        <v>1844</v>
      </c>
      <c r="C371">
        <v>7</v>
      </c>
      <c r="D371" t="s">
        <v>1447</v>
      </c>
      <c r="E371" t="s">
        <v>1845</v>
      </c>
      <c r="F371" t="s">
        <v>1806</v>
      </c>
      <c r="I371" t="str">
        <f>IF(ISBLANK('Q 5'!F59),"",IF('Q 5'!F59="&lt;please select&gt;","",'Q 5'!F59))</f>
        <v>21332.5218363018</v>
      </c>
    </row>
    <row r="372" spans="1:9" x14ac:dyDescent="0.3">
      <c r="A372" t="s">
        <v>1843</v>
      </c>
      <c r="B372" t="s">
        <v>1844</v>
      </c>
      <c r="C372">
        <v>8</v>
      </c>
      <c r="D372" t="s">
        <v>1447</v>
      </c>
      <c r="E372" t="s">
        <v>1845</v>
      </c>
      <c r="F372" t="s">
        <v>1806</v>
      </c>
      <c r="I372" t="str">
        <f>IF(ISBLANK('Q 5'!F60),"",IF('Q 5'!F60="&lt;please select&gt;","",'Q 5'!F60))</f>
        <v>25232.5492537427</v>
      </c>
    </row>
    <row r="373" spans="1:9" x14ac:dyDescent="0.3">
      <c r="A373" t="s">
        <v>1843</v>
      </c>
      <c r="B373" t="s">
        <v>1844</v>
      </c>
      <c r="C373">
        <v>9</v>
      </c>
      <c r="D373" t="s">
        <v>1447</v>
      </c>
      <c r="E373" t="s">
        <v>1845</v>
      </c>
      <c r="F373" t="s">
        <v>1806</v>
      </c>
      <c r="I373" t="str">
        <f>IF(ISBLANK('Q 5'!F61),"",IF('Q 5'!F61="&lt;please select&gt;","",'Q 5'!F61))</f>
        <v>3251.0576923789</v>
      </c>
    </row>
    <row r="374" spans="1:9" x14ac:dyDescent="0.3">
      <c r="A374" t="s">
        <v>1843</v>
      </c>
      <c r="B374" t="s">
        <v>1844</v>
      </c>
      <c r="C374">
        <v>10</v>
      </c>
      <c r="D374" t="s">
        <v>1447</v>
      </c>
      <c r="E374" t="s">
        <v>1845</v>
      </c>
      <c r="F374" t="s">
        <v>1806</v>
      </c>
      <c r="I374" t="str">
        <f>IF(ISBLANK('Q 5'!F62),"",IF('Q 5'!F62="&lt;please select&gt;","",'Q 5'!F62))</f>
        <v>102.2509376</v>
      </c>
    </row>
    <row r="375" spans="1:9" x14ac:dyDescent="0.3">
      <c r="A375" t="s">
        <v>1843</v>
      </c>
      <c r="B375" t="s">
        <v>1844</v>
      </c>
      <c r="C375">
        <v>11</v>
      </c>
      <c r="D375" t="s">
        <v>1447</v>
      </c>
      <c r="E375" t="s">
        <v>1845</v>
      </c>
      <c r="F375" t="s">
        <v>1806</v>
      </c>
      <c r="I375" t="str">
        <f>IF(ISBLANK('Q 5'!F63),"",IF('Q 5'!F63="&lt;please select&gt;","",'Q 5'!F63))</f>
        <v>3543.98412455861</v>
      </c>
    </row>
    <row r="376" spans="1:9" x14ac:dyDescent="0.3">
      <c r="A376" t="s">
        <v>1843</v>
      </c>
      <c r="B376" t="s">
        <v>1844</v>
      </c>
      <c r="C376">
        <v>12</v>
      </c>
      <c r="D376" t="s">
        <v>1447</v>
      </c>
      <c r="E376" t="s">
        <v>1845</v>
      </c>
      <c r="F376" t="s">
        <v>1806</v>
      </c>
      <c r="I376" t="str">
        <f>IF(ISBLANK('Q 5'!F64),"",IF('Q 5'!F64="&lt;please select&gt;","",'Q 5'!F64))</f>
        <v>10266.9903085949</v>
      </c>
    </row>
    <row r="377" spans="1:9" x14ac:dyDescent="0.3">
      <c r="A377" t="s">
        <v>1843</v>
      </c>
      <c r="B377" t="s">
        <v>1844</v>
      </c>
      <c r="C377">
        <v>1</v>
      </c>
      <c r="D377" t="s">
        <v>1447</v>
      </c>
      <c r="E377" t="s">
        <v>1848</v>
      </c>
      <c r="F377" t="s">
        <v>1806</v>
      </c>
      <c r="I377" t="str">
        <f>IF(ISBLANK('Q 5'!H53),"",IF('Q 5'!H53="&lt;please select&gt;","",'Q 5'!H53))</f>
        <v>4007620.26670866</v>
      </c>
    </row>
    <row r="378" spans="1:9" x14ac:dyDescent="0.3">
      <c r="A378" t="s">
        <v>1843</v>
      </c>
      <c r="B378" t="s">
        <v>1844</v>
      </c>
      <c r="C378">
        <v>2</v>
      </c>
      <c r="D378" t="s">
        <v>1447</v>
      </c>
      <c r="E378" t="s">
        <v>1848</v>
      </c>
      <c r="F378" t="s">
        <v>1806</v>
      </c>
      <c r="I378" t="str">
        <f>IF(ISBLANK('Q 5'!H54),"",IF('Q 5'!H54="&lt;please select&gt;","",'Q 5'!H54))</f>
        <v>32594657.9425882</v>
      </c>
    </row>
    <row r="379" spans="1:9" x14ac:dyDescent="0.3">
      <c r="A379" t="s">
        <v>1843</v>
      </c>
      <c r="B379" t="s">
        <v>1844</v>
      </c>
      <c r="C379">
        <v>3</v>
      </c>
      <c r="D379" t="s">
        <v>1447</v>
      </c>
      <c r="E379" t="s">
        <v>1848</v>
      </c>
      <c r="F379" t="s">
        <v>1806</v>
      </c>
      <c r="I379" t="str">
        <f>IF(ISBLANK('Q 5'!H55),"",IF('Q 5'!H55="&lt;please select&gt;","",'Q 5'!H55))</f>
        <v/>
      </c>
    </row>
    <row r="380" spans="1:9" x14ac:dyDescent="0.3">
      <c r="A380" t="s">
        <v>1843</v>
      </c>
      <c r="B380" t="s">
        <v>1844</v>
      </c>
      <c r="C380">
        <v>4</v>
      </c>
      <c r="D380" t="s">
        <v>1447</v>
      </c>
      <c r="E380" t="s">
        <v>1848</v>
      </c>
      <c r="F380" t="s">
        <v>1806</v>
      </c>
      <c r="I380" t="str">
        <f>IF(ISBLANK('Q 5'!H56),"",IF('Q 5'!H56="&lt;please select&gt;","",'Q 5'!H56))</f>
        <v>1059341.94802056</v>
      </c>
    </row>
    <row r="381" spans="1:9" x14ac:dyDescent="0.3">
      <c r="A381" t="s">
        <v>1843</v>
      </c>
      <c r="B381" t="s">
        <v>1844</v>
      </c>
      <c r="C381">
        <v>5</v>
      </c>
      <c r="D381" t="s">
        <v>1447</v>
      </c>
      <c r="E381" t="s">
        <v>1848</v>
      </c>
      <c r="F381" t="s">
        <v>1806</v>
      </c>
      <c r="I381" t="str">
        <f>IF(ISBLANK('Q 5'!H57),"",IF('Q 5'!H57="&lt;please select&gt;","",'Q 5'!H57))</f>
        <v>5506336.31068823</v>
      </c>
    </row>
    <row r="382" spans="1:9" x14ac:dyDescent="0.3">
      <c r="A382" t="s">
        <v>1843</v>
      </c>
      <c r="B382" t="s">
        <v>1844</v>
      </c>
      <c r="C382">
        <v>6</v>
      </c>
      <c r="D382" t="s">
        <v>1447</v>
      </c>
      <c r="E382" t="s">
        <v>1848</v>
      </c>
      <c r="F382" t="s">
        <v>1806</v>
      </c>
      <c r="I382" t="str">
        <f>IF(ISBLANK('Q 5'!H58),"",IF('Q 5'!H58="&lt;please select&gt;","",'Q 5'!H58))</f>
        <v>817303.833304685</v>
      </c>
    </row>
    <row r="383" spans="1:9" x14ac:dyDescent="0.3">
      <c r="A383" t="s">
        <v>1843</v>
      </c>
      <c r="B383" t="s">
        <v>1844</v>
      </c>
      <c r="C383">
        <v>7</v>
      </c>
      <c r="D383" t="s">
        <v>1447</v>
      </c>
      <c r="E383" t="s">
        <v>1848</v>
      </c>
      <c r="F383" t="s">
        <v>1806</v>
      </c>
      <c r="I383" t="str">
        <f>IF(ISBLANK('Q 5'!H59),"",IF('Q 5'!H59="&lt;please select&gt;","",'Q 5'!H59))</f>
        <v>5583824.65645106</v>
      </c>
    </row>
    <row r="384" spans="1:9" x14ac:dyDescent="0.3">
      <c r="A384" t="s">
        <v>1843</v>
      </c>
      <c r="B384" t="s">
        <v>1844</v>
      </c>
      <c r="C384">
        <v>8</v>
      </c>
      <c r="D384" t="s">
        <v>1447</v>
      </c>
      <c r="E384" t="s">
        <v>1848</v>
      </c>
      <c r="F384" t="s">
        <v>1806</v>
      </c>
      <c r="I384" t="str">
        <f>IF(ISBLANK('Q 5'!H60),"",IF('Q 5'!H60="&lt;please select&gt;","",'Q 5'!H60))</f>
        <v>1591234.23549159</v>
      </c>
    </row>
    <row r="385" spans="1:11" x14ac:dyDescent="0.3">
      <c r="A385" t="s">
        <v>1843</v>
      </c>
      <c r="B385" t="s">
        <v>1844</v>
      </c>
      <c r="C385">
        <v>9</v>
      </c>
      <c r="D385" t="s">
        <v>1447</v>
      </c>
      <c r="E385" t="s">
        <v>1848</v>
      </c>
      <c r="F385" t="s">
        <v>1806</v>
      </c>
      <c r="I385" t="str">
        <f>IF(ISBLANK('Q 5'!H61),"",IF('Q 5'!H61="&lt;please select&gt;","",'Q 5'!H61))</f>
        <v>267371.486676474</v>
      </c>
    </row>
    <row r="386" spans="1:11" x14ac:dyDescent="0.3">
      <c r="A386" t="s">
        <v>1843</v>
      </c>
      <c r="B386" t="s">
        <v>1844</v>
      </c>
      <c r="C386">
        <v>10</v>
      </c>
      <c r="D386" t="s">
        <v>1447</v>
      </c>
      <c r="E386" t="s">
        <v>1848</v>
      </c>
      <c r="F386" t="s">
        <v>1806</v>
      </c>
      <c r="I386" t="str">
        <f>IF(ISBLANK('Q 5'!H62),"",IF('Q 5'!H62="&lt;please select&gt;","",'Q 5'!H62))</f>
        <v>6467.87014189694</v>
      </c>
    </row>
    <row r="387" spans="1:11" x14ac:dyDescent="0.3">
      <c r="A387" t="s">
        <v>1843</v>
      </c>
      <c r="B387" t="s">
        <v>1844</v>
      </c>
      <c r="C387">
        <v>11</v>
      </c>
      <c r="D387" t="s">
        <v>1447</v>
      </c>
      <c r="E387" t="s">
        <v>1848</v>
      </c>
      <c r="F387" t="s">
        <v>1806</v>
      </c>
      <c r="I387" t="str">
        <f>IF(ISBLANK('Q 5'!H63),"",IF('Q 5'!H63="&lt;please select&gt;","",'Q 5'!H63))</f>
        <v>308321.853787451</v>
      </c>
    </row>
    <row r="388" spans="1:11" x14ac:dyDescent="0.3">
      <c r="A388" t="s">
        <v>1843</v>
      </c>
      <c r="B388" t="s">
        <v>1844</v>
      </c>
      <c r="C388">
        <v>12</v>
      </c>
      <c r="D388" t="s">
        <v>1447</v>
      </c>
      <c r="E388" t="s">
        <v>1848</v>
      </c>
      <c r="F388" t="s">
        <v>1806</v>
      </c>
      <c r="I388" t="str">
        <f>IF(ISBLANK('Q 5'!H64),"",IF('Q 5'!H64="&lt;please select&gt;","",'Q 5'!H64))</f>
        <v>889040.177446741</v>
      </c>
    </row>
    <row r="389" spans="1:11" x14ac:dyDescent="0.3">
      <c r="A389" t="s">
        <v>1846</v>
      </c>
      <c r="B389" t="s">
        <v>1849</v>
      </c>
      <c r="C389">
        <v>1</v>
      </c>
      <c r="D389" t="s">
        <v>1447</v>
      </c>
      <c r="E389" t="s">
        <v>1850</v>
      </c>
      <c r="F389" t="s">
        <v>1737</v>
      </c>
      <c r="K389" t="str">
        <f>IF(ISBLANK('Q 5'!C69),"",IF('Q 5'!C69="&lt;please select&gt;","",'Q 5'!C69))</f>
        <v>1A1 - Energy - Energy Industries</v>
      </c>
    </row>
    <row r="390" spans="1:11" x14ac:dyDescent="0.3">
      <c r="A390" t="s">
        <v>1846</v>
      </c>
      <c r="B390" t="s">
        <v>1849</v>
      </c>
      <c r="C390">
        <v>2</v>
      </c>
      <c r="D390" t="s">
        <v>1447</v>
      </c>
      <c r="E390" t="s">
        <v>1850</v>
      </c>
      <c r="F390" t="s">
        <v>1737</v>
      </c>
      <c r="K390" t="str">
        <f>IF(ISBLANK('Q 5'!C70),"",IF('Q 5'!C70="&lt;please select&gt;","",'Q 5'!C70))</f>
        <v>1A1 - Energy - Energy Industries</v>
      </c>
    </row>
    <row r="391" spans="1:11" x14ac:dyDescent="0.3">
      <c r="A391" t="s">
        <v>1846</v>
      </c>
      <c r="B391" t="s">
        <v>1849</v>
      </c>
      <c r="C391">
        <v>3</v>
      </c>
      <c r="D391" t="s">
        <v>1447</v>
      </c>
      <c r="E391" t="s">
        <v>1850</v>
      </c>
      <c r="F391" t="s">
        <v>1737</v>
      </c>
      <c r="K391" t="str">
        <f>IF(ISBLANK('Q 5'!C71),"",IF('Q 5'!C71="&lt;please select&gt;","",'Q 5'!C71))</f>
        <v>1A1 - Energy - Energy Industries</v>
      </c>
    </row>
    <row r="392" spans="1:11" x14ac:dyDescent="0.3">
      <c r="A392" t="s">
        <v>1846</v>
      </c>
      <c r="B392" t="s">
        <v>1849</v>
      </c>
      <c r="C392">
        <v>4</v>
      </c>
      <c r="D392" t="s">
        <v>1447</v>
      </c>
      <c r="E392" t="s">
        <v>1850</v>
      </c>
      <c r="F392" t="s">
        <v>1737</v>
      </c>
      <c r="K392" t="str">
        <f>IF(ISBLANK('Q 5'!C72),"",IF('Q 5'!C72="&lt;please select&gt;","",'Q 5'!C72))</f>
        <v>1A1 - Energy - Energy Industries</v>
      </c>
    </row>
    <row r="393" spans="1:11" x14ac:dyDescent="0.3">
      <c r="A393" t="s">
        <v>1846</v>
      </c>
      <c r="B393" t="s">
        <v>1849</v>
      </c>
      <c r="C393">
        <v>5</v>
      </c>
      <c r="D393" t="s">
        <v>1447</v>
      </c>
      <c r="E393" t="s">
        <v>1850</v>
      </c>
      <c r="F393" t="s">
        <v>1737</v>
      </c>
      <c r="K393" t="str">
        <f>IF(ISBLANK('Q 5'!C73),"",IF('Q 5'!C73="&lt;please select&gt;","",'Q 5'!C73))</f>
        <v>1A1 - Energy - Energy Industries</v>
      </c>
    </row>
    <row r="394" spans="1:11" x14ac:dyDescent="0.3">
      <c r="A394" t="s">
        <v>1846</v>
      </c>
      <c r="B394" t="s">
        <v>1849</v>
      </c>
      <c r="C394">
        <v>6</v>
      </c>
      <c r="D394" t="s">
        <v>1447</v>
      </c>
      <c r="E394" t="s">
        <v>1850</v>
      </c>
      <c r="F394" t="s">
        <v>1737</v>
      </c>
      <c r="K394" t="str">
        <f>IF(ISBLANK('Q 5'!C74),"",IF('Q 5'!C74="&lt;please select&gt;","",'Q 5'!C74))</f>
        <v>1A1 - Energy - Energy Industries</v>
      </c>
    </row>
    <row r="395" spans="1:11" x14ac:dyDescent="0.3">
      <c r="A395" t="s">
        <v>1846</v>
      </c>
      <c r="B395" t="s">
        <v>1849</v>
      </c>
      <c r="C395">
        <v>7</v>
      </c>
      <c r="D395" t="s">
        <v>1447</v>
      </c>
      <c r="E395" t="s">
        <v>1850</v>
      </c>
      <c r="F395" t="s">
        <v>1737</v>
      </c>
      <c r="K395" t="str">
        <f>IF(ISBLANK('Q 5'!C75),"",IF('Q 5'!C75="&lt;please select&gt;","",'Q 5'!C75))</f>
        <v>1A1b - Energy - Petroleum Refining</v>
      </c>
    </row>
    <row r="396" spans="1:11" x14ac:dyDescent="0.3">
      <c r="A396" t="s">
        <v>1846</v>
      </c>
      <c r="B396" t="s">
        <v>1849</v>
      </c>
      <c r="C396">
        <v>8</v>
      </c>
      <c r="D396" t="s">
        <v>1447</v>
      </c>
      <c r="E396" t="s">
        <v>1850</v>
      </c>
      <c r="F396" t="s">
        <v>1737</v>
      </c>
      <c r="K396" t="str">
        <f>IF(ISBLANK('Q 5'!C76),"",IF('Q 5'!C76="&lt;please select&gt;","",'Q 5'!C76))</f>
        <v>1A1c - Energy - Manufacture of Solid Fuels and Other Energy Industries</v>
      </c>
    </row>
    <row r="397" spans="1:11" x14ac:dyDescent="0.3">
      <c r="A397" t="s">
        <v>1846</v>
      </c>
      <c r="B397" t="s">
        <v>1849</v>
      </c>
      <c r="C397">
        <v>9</v>
      </c>
      <c r="D397" t="s">
        <v>1447</v>
      </c>
      <c r="E397" t="s">
        <v>1850</v>
      </c>
      <c r="F397" t="s">
        <v>1737</v>
      </c>
      <c r="K397" t="str">
        <f>IF(ISBLANK('Q 5'!C77),"",IF('Q 5'!C77="&lt;please select&gt;","",'Q 5'!C77))</f>
        <v>1A2a - Energy - Iron and Steel</v>
      </c>
    </row>
    <row r="398" spans="1:11" x14ac:dyDescent="0.3">
      <c r="A398" t="s">
        <v>1846</v>
      </c>
      <c r="B398" t="s">
        <v>1849</v>
      </c>
      <c r="C398">
        <v>10</v>
      </c>
      <c r="D398" t="s">
        <v>1447</v>
      </c>
      <c r="E398" t="s">
        <v>1850</v>
      </c>
      <c r="F398" t="s">
        <v>1737</v>
      </c>
      <c r="K398" t="str">
        <f>IF(ISBLANK('Q 5'!C78),"",IF('Q 5'!C78="&lt;please select&gt;","",'Q 5'!C78))</f>
        <v>1A2a - Energy - Iron and Steel</v>
      </c>
    </row>
    <row r="399" spans="1:11" x14ac:dyDescent="0.3">
      <c r="A399" t="s">
        <v>1846</v>
      </c>
      <c r="B399" t="s">
        <v>1849</v>
      </c>
      <c r="C399">
        <v>11</v>
      </c>
      <c r="D399" t="s">
        <v>1447</v>
      </c>
      <c r="E399" t="s">
        <v>1850</v>
      </c>
      <c r="F399" t="s">
        <v>1737</v>
      </c>
      <c r="K399" t="str">
        <f>IF(ISBLANK('Q 5'!C79),"",IF('Q 5'!C79="&lt;please select&gt;","",'Q 5'!C79))</f>
        <v>1A2b - Energy - Non-Ferrous Metals</v>
      </c>
    </row>
    <row r="400" spans="1:11" x14ac:dyDescent="0.3">
      <c r="A400" t="s">
        <v>1846</v>
      </c>
      <c r="B400" t="s">
        <v>1849</v>
      </c>
      <c r="C400">
        <v>12</v>
      </c>
      <c r="D400" t="s">
        <v>1447</v>
      </c>
      <c r="E400" t="s">
        <v>1850</v>
      </c>
      <c r="F400" t="s">
        <v>1737</v>
      </c>
      <c r="K400" t="str">
        <f>IF(ISBLANK('Q 5'!C80),"",IF('Q 5'!C80="&lt;please select&gt;","",'Q 5'!C80))</f>
        <v>1A2b - Energy - Non-Ferrous Metals</v>
      </c>
    </row>
    <row r="401" spans="1:11" x14ac:dyDescent="0.3">
      <c r="A401" t="s">
        <v>1846</v>
      </c>
      <c r="B401" t="s">
        <v>1849</v>
      </c>
      <c r="C401">
        <v>13</v>
      </c>
      <c r="D401" t="s">
        <v>1447</v>
      </c>
      <c r="E401" t="s">
        <v>1850</v>
      </c>
      <c r="F401" t="s">
        <v>1737</v>
      </c>
      <c r="K401" t="str">
        <f>IF(ISBLANK('Q 5'!C81),"",IF('Q 5'!C81="&lt;please select&gt;","",'Q 5'!C81))</f>
        <v>1A2c - Energy - Chemicals</v>
      </c>
    </row>
    <row r="402" spans="1:11" x14ac:dyDescent="0.3">
      <c r="A402" t="s">
        <v>1846</v>
      </c>
      <c r="B402" t="s">
        <v>1849</v>
      </c>
      <c r="C402">
        <v>14</v>
      </c>
      <c r="D402" t="s">
        <v>1447</v>
      </c>
      <c r="E402" t="s">
        <v>1850</v>
      </c>
      <c r="F402" t="s">
        <v>1737</v>
      </c>
      <c r="K402" t="str">
        <f>IF(ISBLANK('Q 5'!C82),"",IF('Q 5'!C82="&lt;please select&gt;","",'Q 5'!C82))</f>
        <v>1A2c - Energy - Chemicals</v>
      </c>
    </row>
    <row r="403" spans="1:11" x14ac:dyDescent="0.3">
      <c r="A403" t="s">
        <v>1846</v>
      </c>
      <c r="B403" t="s">
        <v>1849</v>
      </c>
      <c r="C403">
        <v>15</v>
      </c>
      <c r="D403" t="s">
        <v>1447</v>
      </c>
      <c r="E403" t="s">
        <v>1850</v>
      </c>
      <c r="F403" t="s">
        <v>1737</v>
      </c>
      <c r="K403" t="str">
        <f>IF(ISBLANK('Q 5'!C83),"",IF('Q 5'!C83="&lt;please select&gt;","",'Q 5'!C83))</f>
        <v>1A2c - Energy - Chemicals</v>
      </c>
    </row>
    <row r="404" spans="1:11" x14ac:dyDescent="0.3">
      <c r="A404" t="s">
        <v>1846</v>
      </c>
      <c r="B404" t="s">
        <v>1849</v>
      </c>
      <c r="C404">
        <v>16</v>
      </c>
      <c r="D404" t="s">
        <v>1447</v>
      </c>
      <c r="E404" t="s">
        <v>1850</v>
      </c>
      <c r="F404" t="s">
        <v>1737</v>
      </c>
      <c r="K404" t="str">
        <f>IF(ISBLANK('Q 5'!C84),"",IF('Q 5'!C84="&lt;please select&gt;","",'Q 5'!C84))</f>
        <v>1A2c - Energy - Chemicals</v>
      </c>
    </row>
    <row r="405" spans="1:11" x14ac:dyDescent="0.3">
      <c r="A405" t="s">
        <v>1846</v>
      </c>
      <c r="B405" t="s">
        <v>1849</v>
      </c>
      <c r="C405">
        <v>17</v>
      </c>
      <c r="D405" t="s">
        <v>1447</v>
      </c>
      <c r="E405" t="s">
        <v>1850</v>
      </c>
      <c r="F405" t="s">
        <v>1737</v>
      </c>
      <c r="K405" t="str">
        <f>IF(ISBLANK('Q 5'!C85),"",IF('Q 5'!C85="&lt;please select&gt;","",'Q 5'!C85))</f>
        <v>1A2c - Energy - Chemicals</v>
      </c>
    </row>
    <row r="406" spans="1:11" x14ac:dyDescent="0.3">
      <c r="A406" t="s">
        <v>1846</v>
      </c>
      <c r="B406" t="s">
        <v>1849</v>
      </c>
      <c r="C406">
        <v>18</v>
      </c>
      <c r="D406" t="s">
        <v>1447</v>
      </c>
      <c r="E406" t="s">
        <v>1850</v>
      </c>
      <c r="F406" t="s">
        <v>1737</v>
      </c>
      <c r="K406" t="str">
        <f>IF(ISBLANK('Q 5'!C86),"",IF('Q 5'!C86="&lt;please select&gt;","",'Q 5'!C86))</f>
        <v>1A2d - Energy - Pulp, Paper and Print</v>
      </c>
    </row>
    <row r="407" spans="1:11" x14ac:dyDescent="0.3">
      <c r="A407" t="s">
        <v>1846</v>
      </c>
      <c r="B407" t="s">
        <v>1849</v>
      </c>
      <c r="C407">
        <v>19</v>
      </c>
      <c r="D407" t="s">
        <v>1447</v>
      </c>
      <c r="E407" t="s">
        <v>1850</v>
      </c>
      <c r="F407" t="s">
        <v>1737</v>
      </c>
      <c r="K407" t="str">
        <f>IF(ISBLANK('Q 5'!C87),"",IF('Q 5'!C87="&lt;please select&gt;","",'Q 5'!C87))</f>
        <v>1A2d - Energy - Pulp, Paper and Print</v>
      </c>
    </row>
    <row r="408" spans="1:11" x14ac:dyDescent="0.3">
      <c r="A408" t="s">
        <v>1846</v>
      </c>
      <c r="B408" t="s">
        <v>1849</v>
      </c>
      <c r="C408">
        <v>20</v>
      </c>
      <c r="D408" t="s">
        <v>1447</v>
      </c>
      <c r="E408" t="s">
        <v>1850</v>
      </c>
      <c r="F408" t="s">
        <v>1737</v>
      </c>
      <c r="K408" t="str">
        <f>IF(ISBLANK('Q 5'!C88),"",IF('Q 5'!C88="&lt;please select&gt;","",'Q 5'!C88))</f>
        <v>1A2e - Energy - Food Processing, Beverages and Tobacco</v>
      </c>
    </row>
    <row r="409" spans="1:11" x14ac:dyDescent="0.3">
      <c r="A409" t="s">
        <v>1846</v>
      </c>
      <c r="B409" t="s">
        <v>1849</v>
      </c>
      <c r="C409">
        <v>21</v>
      </c>
      <c r="D409" t="s">
        <v>1447</v>
      </c>
      <c r="E409" t="s">
        <v>1850</v>
      </c>
      <c r="F409" t="s">
        <v>1737</v>
      </c>
      <c r="K409" t="str">
        <f>IF(ISBLANK('Q 5'!C89),"",IF('Q 5'!C89="&lt;please select&gt;","",'Q 5'!C89))</f>
        <v>1A2e - Energy - Food Processing, Beverages and Tobacco</v>
      </c>
    </row>
    <row r="410" spans="1:11" x14ac:dyDescent="0.3">
      <c r="A410" t="s">
        <v>1846</v>
      </c>
      <c r="B410" t="s">
        <v>1849</v>
      </c>
      <c r="C410">
        <v>22</v>
      </c>
      <c r="D410" t="s">
        <v>1447</v>
      </c>
      <c r="E410" t="s">
        <v>1850</v>
      </c>
      <c r="F410" t="s">
        <v>1737</v>
      </c>
      <c r="K410" t="str">
        <f>IF(ISBLANK('Q 5'!C90),"",IF('Q 5'!C90="&lt;please select&gt;","",'Q 5'!C90))</f>
        <v>1A2e - Energy - Food Processing, Beverages and Tobacco</v>
      </c>
    </row>
    <row r="411" spans="1:11" x14ac:dyDescent="0.3">
      <c r="A411" t="s">
        <v>1846</v>
      </c>
      <c r="B411" t="s">
        <v>1849</v>
      </c>
      <c r="C411">
        <v>23</v>
      </c>
      <c r="D411" t="s">
        <v>1447</v>
      </c>
      <c r="E411" t="s">
        <v>1850</v>
      </c>
      <c r="F411" t="s">
        <v>1737</v>
      </c>
      <c r="K411" t="str">
        <f>IF(ISBLANK('Q 5'!C91),"",IF('Q 5'!C91="&lt;please select&gt;","",'Q 5'!C91))</f>
        <v>1A2f - Energy - Non-metallic minerals</v>
      </c>
    </row>
    <row r="412" spans="1:11" x14ac:dyDescent="0.3">
      <c r="A412" t="s">
        <v>1846</v>
      </c>
      <c r="B412" t="s">
        <v>1849</v>
      </c>
      <c r="C412">
        <v>24</v>
      </c>
      <c r="D412" t="s">
        <v>1447</v>
      </c>
      <c r="E412" t="s">
        <v>1850</v>
      </c>
      <c r="F412" t="s">
        <v>1737</v>
      </c>
      <c r="K412" t="str">
        <f>IF(ISBLANK('Q 5'!C92),"",IF('Q 5'!C92="&lt;please select&gt;","",'Q 5'!C92))</f>
        <v>1A2f - Energy - Non-metallic minerals</v>
      </c>
    </row>
    <row r="413" spans="1:11" x14ac:dyDescent="0.3">
      <c r="A413" t="s">
        <v>1846</v>
      </c>
      <c r="B413" t="s">
        <v>1849</v>
      </c>
      <c r="C413">
        <v>25</v>
      </c>
      <c r="D413" t="s">
        <v>1447</v>
      </c>
      <c r="E413" t="s">
        <v>1850</v>
      </c>
      <c r="F413" t="s">
        <v>1737</v>
      </c>
      <c r="K413" t="str">
        <f>IF(ISBLANK('Q 5'!C93),"",IF('Q 5'!C93="&lt;please select&gt;","",'Q 5'!C93))</f>
        <v>1A2f - Energy - Non-metallic minerals</v>
      </c>
    </row>
    <row r="414" spans="1:11" x14ac:dyDescent="0.3">
      <c r="A414" t="s">
        <v>1846</v>
      </c>
      <c r="B414" t="s">
        <v>1849</v>
      </c>
      <c r="C414">
        <v>26</v>
      </c>
      <c r="D414" t="s">
        <v>1447</v>
      </c>
      <c r="E414" t="s">
        <v>1850</v>
      </c>
      <c r="F414" t="s">
        <v>1737</v>
      </c>
      <c r="K414" t="str">
        <f>IF(ISBLANK('Q 5'!C94),"",IF('Q 5'!C94="&lt;please select&gt;","",'Q 5'!C94))</f>
        <v>1A2f - Energy - Non-metallic minerals</v>
      </c>
    </row>
    <row r="415" spans="1:11" x14ac:dyDescent="0.3">
      <c r="A415" t="s">
        <v>1846</v>
      </c>
      <c r="B415" t="s">
        <v>1849</v>
      </c>
      <c r="C415">
        <v>27</v>
      </c>
      <c r="D415" t="s">
        <v>1447</v>
      </c>
      <c r="E415" t="s">
        <v>1850</v>
      </c>
      <c r="F415" t="s">
        <v>1737</v>
      </c>
      <c r="K415" t="str">
        <f>IF(ISBLANK('Q 5'!C95),"",IF('Q 5'!C95="&lt;please select&gt;","",'Q 5'!C95))</f>
        <v>1A2f - Energy - Non-metallic minerals</v>
      </c>
    </row>
    <row r="416" spans="1:11" x14ac:dyDescent="0.3">
      <c r="A416" t="s">
        <v>1846</v>
      </c>
      <c r="B416" t="s">
        <v>1849</v>
      </c>
      <c r="C416">
        <v>28</v>
      </c>
      <c r="D416" t="s">
        <v>1447</v>
      </c>
      <c r="E416" t="s">
        <v>1850</v>
      </c>
      <c r="F416" t="s">
        <v>1737</v>
      </c>
      <c r="K416" t="str">
        <f>IF(ISBLANK('Q 5'!C96),"",IF('Q 5'!C96="&lt;please select&gt;","",'Q 5'!C96))</f>
        <v>1A2g - Energy - Other Manufacturing Industries and Construction</v>
      </c>
    </row>
    <row r="417" spans="1:11" x14ac:dyDescent="0.3">
      <c r="A417" t="s">
        <v>1846</v>
      </c>
      <c r="B417" t="s">
        <v>1849</v>
      </c>
      <c r="C417">
        <v>29</v>
      </c>
      <c r="D417" t="s">
        <v>1447</v>
      </c>
      <c r="E417" t="s">
        <v>1850</v>
      </c>
      <c r="F417" t="s">
        <v>1737</v>
      </c>
      <c r="K417" t="str">
        <f>IF(ISBLANK('Q 5'!C97),"",IF('Q 5'!C97="&lt;please select&gt;","",'Q 5'!C97))</f>
        <v>1A2g - Energy - Other Manufacturing Industries and Construction</v>
      </c>
    </row>
    <row r="418" spans="1:11" x14ac:dyDescent="0.3">
      <c r="A418" t="s">
        <v>1846</v>
      </c>
      <c r="B418" t="s">
        <v>1849</v>
      </c>
      <c r="C418">
        <v>30</v>
      </c>
      <c r="D418" t="s">
        <v>1447</v>
      </c>
      <c r="E418" t="s">
        <v>1850</v>
      </c>
      <c r="F418" t="s">
        <v>1737</v>
      </c>
      <c r="K418" t="str">
        <f>IF(ISBLANK('Q 5'!C98),"",IF('Q 5'!C98="&lt;please select&gt;","",'Q 5'!C98))</f>
        <v>1A2g - Energy - Other Manufacturing Industries and Construction</v>
      </c>
    </row>
    <row r="419" spans="1:11" x14ac:dyDescent="0.3">
      <c r="A419" t="s">
        <v>1846</v>
      </c>
      <c r="B419" t="s">
        <v>1849</v>
      </c>
      <c r="C419">
        <v>31</v>
      </c>
      <c r="D419" t="s">
        <v>1447</v>
      </c>
      <c r="E419" t="s">
        <v>1850</v>
      </c>
      <c r="F419" t="s">
        <v>1737</v>
      </c>
      <c r="K419" t="str">
        <f>IF(ISBLANK('Q 5'!C99),"",IF('Q 5'!C99="&lt;please select&gt;","",'Q 5'!C99))</f>
        <v>1A2g - Energy - Other Manufacturing Industries and Construction</v>
      </c>
    </row>
    <row r="420" spans="1:11" x14ac:dyDescent="0.3">
      <c r="A420" t="s">
        <v>1846</v>
      </c>
      <c r="B420" t="s">
        <v>1849</v>
      </c>
      <c r="C420">
        <v>32</v>
      </c>
      <c r="D420" t="s">
        <v>1447</v>
      </c>
      <c r="E420" t="s">
        <v>1850</v>
      </c>
      <c r="F420" t="s">
        <v>1737</v>
      </c>
      <c r="K420" t="str">
        <f>IF(ISBLANK('Q 5'!C100),"",IF('Q 5'!C100="&lt;please select&gt;","",'Q 5'!C100))</f>
        <v>1A3e - Energy - Other Transportation (pipeline transport)</v>
      </c>
    </row>
    <row r="421" spans="1:11" x14ac:dyDescent="0.3">
      <c r="A421" t="s">
        <v>1846</v>
      </c>
      <c r="B421" t="s">
        <v>1849</v>
      </c>
      <c r="C421">
        <v>33</v>
      </c>
      <c r="D421" t="s">
        <v>1447</v>
      </c>
      <c r="E421" t="s">
        <v>1850</v>
      </c>
      <c r="F421" t="s">
        <v>1737</v>
      </c>
      <c r="K421" t="str">
        <f>IF(ISBLANK('Q 5'!C101),"",IF('Q 5'!C101="&lt;please select&gt;","",'Q 5'!C101))</f>
        <v>1A4a - Energy - Commercial/Institutional</v>
      </c>
    </row>
    <row r="422" spans="1:11" x14ac:dyDescent="0.3">
      <c r="A422" t="s">
        <v>1846</v>
      </c>
      <c r="B422" t="s">
        <v>1849</v>
      </c>
      <c r="C422">
        <v>34</v>
      </c>
      <c r="D422" t="s">
        <v>1447</v>
      </c>
      <c r="E422" t="s">
        <v>1850</v>
      </c>
      <c r="F422" t="s">
        <v>1737</v>
      </c>
      <c r="K422" t="str">
        <f>IF(ISBLANK('Q 5'!C102),"",IF('Q 5'!C102="&lt;please select&gt;","",'Q 5'!C102))</f>
        <v>1A5a - Energy - Other Stationary</v>
      </c>
    </row>
    <row r="423" spans="1:11" x14ac:dyDescent="0.3">
      <c r="A423" t="s">
        <v>1846</v>
      </c>
      <c r="B423" t="s">
        <v>1849</v>
      </c>
      <c r="C423">
        <v>35</v>
      </c>
      <c r="D423" t="s">
        <v>1447</v>
      </c>
      <c r="E423" t="s">
        <v>1850</v>
      </c>
      <c r="F423" t="s">
        <v>1737</v>
      </c>
      <c r="K423" t="str">
        <f>IF(ISBLANK('Q 5'!C103),"",IF('Q 5'!C103="&lt;please select&gt;","",'Q 5'!C103))</f>
        <v>1A5a - Energy - Other Stationary</v>
      </c>
    </row>
    <row r="424" spans="1:11" x14ac:dyDescent="0.3">
      <c r="A424" t="s">
        <v>1846</v>
      </c>
      <c r="B424" t="s">
        <v>1849</v>
      </c>
      <c r="C424">
        <v>36</v>
      </c>
      <c r="D424" t="s">
        <v>1447</v>
      </c>
      <c r="E424" t="s">
        <v>1850</v>
      </c>
      <c r="F424" t="s">
        <v>1737</v>
      </c>
      <c r="K424" t="str">
        <f>IF(ISBLANK('Q 5'!C104),"",IF('Q 5'!C104="&lt;please select&gt;","",'Q 5'!C104))</f>
        <v>1B2b - Energy - Fugitive - Natural Gas</v>
      </c>
    </row>
    <row r="425" spans="1:11" x14ac:dyDescent="0.3">
      <c r="A425" t="s">
        <v>1846</v>
      </c>
      <c r="B425" t="s">
        <v>1849</v>
      </c>
      <c r="C425">
        <v>37</v>
      </c>
      <c r="D425" t="s">
        <v>1447</v>
      </c>
      <c r="E425" t="s">
        <v>1850</v>
      </c>
      <c r="F425" t="s">
        <v>1737</v>
      </c>
      <c r="K425" t="str">
        <f>IF(ISBLANK('Q 5'!C105),"",IF('Q 5'!C105="&lt;please select&gt;","",'Q 5'!C105))</f>
        <v>1B2b - Energy - Fugitive - Natural Gas</v>
      </c>
    </row>
    <row r="426" spans="1:11" x14ac:dyDescent="0.3">
      <c r="A426" t="s">
        <v>1846</v>
      </c>
      <c r="B426" t="s">
        <v>1849</v>
      </c>
      <c r="C426">
        <v>38</v>
      </c>
      <c r="D426" t="s">
        <v>1447</v>
      </c>
      <c r="E426" t="s">
        <v>1850</v>
      </c>
      <c r="F426" t="s">
        <v>1737</v>
      </c>
      <c r="K426" t="str">
        <f>IF(ISBLANK('Q 5'!C106),"",IF('Q 5'!C106="&lt;please select&gt;","",'Q 5'!C106))</f>
        <v>1B2b - Energy - Fugitive - Natural Gas</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
      </c>
    </row>
    <row r="520" spans="1:11" x14ac:dyDescent="0.3">
      <c r="A520" t="s">
        <v>1846</v>
      </c>
      <c r="B520" t="s">
        <v>1849</v>
      </c>
      <c r="C520">
        <v>2</v>
      </c>
      <c r="D520" t="s">
        <v>1447</v>
      </c>
      <c r="E520" t="s">
        <v>1851</v>
      </c>
      <c r="F520" t="s">
        <v>1737</v>
      </c>
      <c r="K520" t="str">
        <f>IF(ISBLANK('Q 5'!E70),"",IF('Q 5'!E70="&lt;please select&gt;","",'Q 5'!E70))</f>
        <v>2A4 - Process - Other Process Uses of Carbonates</v>
      </c>
    </row>
    <row r="521" spans="1:11" x14ac:dyDescent="0.3">
      <c r="A521" t="s">
        <v>1846</v>
      </c>
      <c r="B521" t="s">
        <v>1849</v>
      </c>
      <c r="C521">
        <v>3</v>
      </c>
      <c r="D521" t="s">
        <v>1447</v>
      </c>
      <c r="E521" t="s">
        <v>1851</v>
      </c>
      <c r="F521" t="s">
        <v>1737</v>
      </c>
      <c r="K521" t="str">
        <f>IF(ISBLANK('Q 5'!E71),"",IF('Q 5'!E71="&lt;please select&gt;","",'Q 5'!E71))</f>
        <v>2B10 - Process - Other Chemical Industry</v>
      </c>
    </row>
    <row r="522" spans="1:11" x14ac:dyDescent="0.3">
      <c r="A522" t="s">
        <v>1846</v>
      </c>
      <c r="B522" t="s">
        <v>1849</v>
      </c>
      <c r="C522">
        <v>4</v>
      </c>
      <c r="D522" t="s">
        <v>1447</v>
      </c>
      <c r="E522" t="s">
        <v>1851</v>
      </c>
      <c r="F522" t="s">
        <v>1737</v>
      </c>
      <c r="K522" t="str">
        <f>IF(ISBLANK('Q 5'!E72),"",IF('Q 5'!E72="&lt;please select&gt;","",'Q 5'!E72))</f>
        <v>2C1 - Process - Iron and Steel Production</v>
      </c>
    </row>
    <row r="523" spans="1:11" x14ac:dyDescent="0.3">
      <c r="A523" t="s">
        <v>1846</v>
      </c>
      <c r="B523" t="s">
        <v>1849</v>
      </c>
      <c r="C523">
        <v>5</v>
      </c>
      <c r="D523" t="s">
        <v>1447</v>
      </c>
      <c r="E523" t="s">
        <v>1851</v>
      </c>
      <c r="F523" t="s">
        <v>1737</v>
      </c>
      <c r="K523" t="str">
        <f>IF(ISBLANK('Q 5'!E73),"",IF('Q 5'!E73="&lt;please select&gt;","",'Q 5'!E73))</f>
        <v>2E4 - Process - Heat Transfer Fluid</v>
      </c>
    </row>
    <row r="524" spans="1:11" x14ac:dyDescent="0.3">
      <c r="A524" t="s">
        <v>1846</v>
      </c>
      <c r="B524" t="s">
        <v>1849</v>
      </c>
      <c r="C524">
        <v>6</v>
      </c>
      <c r="D524" t="s">
        <v>1447</v>
      </c>
      <c r="E524" t="s">
        <v>1851</v>
      </c>
      <c r="F524" t="s">
        <v>1737</v>
      </c>
      <c r="K524" t="str">
        <f>IF(ISBLANK('Q 5'!E74),"",IF('Q 5'!E74="&lt;please select&gt;","",'Q 5'!E74))</f>
        <v>2H - Process - Other Industrial Process and Product Use</v>
      </c>
    </row>
    <row r="525" spans="1:11" x14ac:dyDescent="0.3">
      <c r="A525" t="s">
        <v>1846</v>
      </c>
      <c r="B525" t="s">
        <v>1849</v>
      </c>
      <c r="C525">
        <v>7</v>
      </c>
      <c r="D525" t="s">
        <v>1447</v>
      </c>
      <c r="E525" t="s">
        <v>1851</v>
      </c>
      <c r="F525" t="s">
        <v>1737</v>
      </c>
      <c r="K525" t="str">
        <f>IF(ISBLANK('Q 5'!E75),"",IF('Q 5'!E75="&lt;please select&gt;","",'Q 5'!E75))</f>
        <v/>
      </c>
    </row>
    <row r="526" spans="1:11" x14ac:dyDescent="0.3">
      <c r="A526" t="s">
        <v>1846</v>
      </c>
      <c r="B526" t="s">
        <v>1849</v>
      </c>
      <c r="C526">
        <v>8</v>
      </c>
      <c r="D526" t="s">
        <v>1447</v>
      </c>
      <c r="E526" t="s">
        <v>1851</v>
      </c>
      <c r="F526" t="s">
        <v>1737</v>
      </c>
      <c r="K526" t="str">
        <f>IF(ISBLANK('Q 5'!E76),"",IF('Q 5'!E76="&lt;please select&gt;","",'Q 5'!E76))</f>
        <v/>
      </c>
    </row>
    <row r="527" spans="1:11" x14ac:dyDescent="0.3">
      <c r="A527" t="s">
        <v>1846</v>
      </c>
      <c r="B527" t="s">
        <v>1849</v>
      </c>
      <c r="C527">
        <v>9</v>
      </c>
      <c r="D527" t="s">
        <v>1447</v>
      </c>
      <c r="E527" t="s">
        <v>1851</v>
      </c>
      <c r="F527" t="s">
        <v>1737</v>
      </c>
      <c r="K527" t="str">
        <f>IF(ISBLANK('Q 5'!E77),"",IF('Q 5'!E77="&lt;please select&gt;","",'Q 5'!E77))</f>
        <v/>
      </c>
    </row>
    <row r="528" spans="1:11" x14ac:dyDescent="0.3">
      <c r="A528" t="s">
        <v>1846</v>
      </c>
      <c r="B528" t="s">
        <v>1849</v>
      </c>
      <c r="C528">
        <v>10</v>
      </c>
      <c r="D528" t="s">
        <v>1447</v>
      </c>
      <c r="E528" t="s">
        <v>1851</v>
      </c>
      <c r="F528" t="s">
        <v>1737</v>
      </c>
      <c r="K528" t="str">
        <f>IF(ISBLANK('Q 5'!E78),"",IF('Q 5'!E78="&lt;please select&gt;","",'Q 5'!E78))</f>
        <v>2C1 - Process - Iron and Steel Production</v>
      </c>
    </row>
    <row r="529" spans="1:11" x14ac:dyDescent="0.3">
      <c r="A529" t="s">
        <v>1846</v>
      </c>
      <c r="B529" t="s">
        <v>1849</v>
      </c>
      <c r="C529">
        <v>11</v>
      </c>
      <c r="D529" t="s">
        <v>1447</v>
      </c>
      <c r="E529" t="s">
        <v>1851</v>
      </c>
      <c r="F529" t="s">
        <v>1737</v>
      </c>
      <c r="K529" t="str">
        <f>IF(ISBLANK('Q 5'!E79),"",IF('Q 5'!E79="&lt;please select&gt;","",'Q 5'!E79))</f>
        <v/>
      </c>
    </row>
    <row r="530" spans="1:11" x14ac:dyDescent="0.3">
      <c r="A530" t="s">
        <v>1846</v>
      </c>
      <c r="B530" t="s">
        <v>1849</v>
      </c>
      <c r="C530">
        <v>12</v>
      </c>
      <c r="D530" t="s">
        <v>1447</v>
      </c>
      <c r="E530" t="s">
        <v>1851</v>
      </c>
      <c r="F530" t="s">
        <v>1737</v>
      </c>
      <c r="K530" t="str">
        <f>IF(ISBLANK('Q 5'!E80),"",IF('Q 5'!E80="&lt;please select&gt;","",'Q 5'!E80))</f>
        <v>2C3 - Process - Aluminium Production</v>
      </c>
    </row>
    <row r="531" spans="1:11" x14ac:dyDescent="0.3">
      <c r="A531" t="s">
        <v>1846</v>
      </c>
      <c r="B531" t="s">
        <v>1849</v>
      </c>
      <c r="C531">
        <v>13</v>
      </c>
      <c r="D531" t="s">
        <v>1447</v>
      </c>
      <c r="E531" t="s">
        <v>1851</v>
      </c>
      <c r="F531" t="s">
        <v>1737</v>
      </c>
      <c r="K531" t="str">
        <f>IF(ISBLANK('Q 5'!E81),"",IF('Q 5'!E81="&lt;please select&gt;","",'Q 5'!E81))</f>
        <v/>
      </c>
    </row>
    <row r="532" spans="1:11" x14ac:dyDescent="0.3">
      <c r="A532" t="s">
        <v>1846</v>
      </c>
      <c r="B532" t="s">
        <v>1849</v>
      </c>
      <c r="C532">
        <v>14</v>
      </c>
      <c r="D532" t="s">
        <v>1447</v>
      </c>
      <c r="E532" t="s">
        <v>1851</v>
      </c>
      <c r="F532" t="s">
        <v>1737</v>
      </c>
      <c r="K532" t="str">
        <f>IF(ISBLANK('Q 5'!E82),"",IF('Q 5'!E82="&lt;please select&gt;","",'Q 5'!E82))</f>
        <v>2B10 - Process - Other Chemical Industry</v>
      </c>
    </row>
    <row r="533" spans="1:11" x14ac:dyDescent="0.3">
      <c r="A533" t="s">
        <v>1846</v>
      </c>
      <c r="B533" t="s">
        <v>1849</v>
      </c>
      <c r="C533">
        <v>15</v>
      </c>
      <c r="D533" t="s">
        <v>1447</v>
      </c>
      <c r="E533" t="s">
        <v>1851</v>
      </c>
      <c r="F533" t="s">
        <v>1737</v>
      </c>
      <c r="K533" t="str">
        <f>IF(ISBLANK('Q 5'!E83),"",IF('Q 5'!E83="&lt;please select&gt;","",'Q 5'!E83))</f>
        <v xml:space="preserve">2B2 - Process - Nitric Acid Production </v>
      </c>
    </row>
    <row r="534" spans="1:11" x14ac:dyDescent="0.3">
      <c r="A534" t="s">
        <v>1846</v>
      </c>
      <c r="B534" t="s">
        <v>1849</v>
      </c>
      <c r="C534">
        <v>16</v>
      </c>
      <c r="D534" t="s">
        <v>1447</v>
      </c>
      <c r="E534" t="s">
        <v>1851</v>
      </c>
      <c r="F534" t="s">
        <v>1737</v>
      </c>
      <c r="K534" t="str">
        <f>IF(ISBLANK('Q 5'!E84),"",IF('Q 5'!E84="&lt;please select&gt;","",'Q 5'!E84))</f>
        <v>2B6 - Process - Titanium Dioxide Production</v>
      </c>
    </row>
    <row r="535" spans="1:11" x14ac:dyDescent="0.3">
      <c r="A535" t="s">
        <v>1846</v>
      </c>
      <c r="B535" t="s">
        <v>1849</v>
      </c>
      <c r="C535">
        <v>17</v>
      </c>
      <c r="D535" t="s">
        <v>1447</v>
      </c>
      <c r="E535" t="s">
        <v>1851</v>
      </c>
      <c r="F535" t="s">
        <v>1737</v>
      </c>
      <c r="K535" t="str">
        <f>IF(ISBLANK('Q 5'!E85),"",IF('Q 5'!E85="&lt;please select&gt;","",'Q 5'!E85))</f>
        <v>2B8 - Process - Petrochemical and Carbon Black Production</v>
      </c>
    </row>
    <row r="536" spans="1:11" x14ac:dyDescent="0.3">
      <c r="A536" t="s">
        <v>1846</v>
      </c>
      <c r="B536" t="s">
        <v>1849</v>
      </c>
      <c r="C536">
        <v>18</v>
      </c>
      <c r="D536" t="s">
        <v>1447</v>
      </c>
      <c r="E536" t="s">
        <v>1851</v>
      </c>
      <c r="F536" t="s">
        <v>1737</v>
      </c>
      <c r="K536" t="str">
        <f>IF(ISBLANK('Q 5'!E86),"",IF('Q 5'!E86="&lt;please select&gt;","",'Q 5'!E86))</f>
        <v/>
      </c>
    </row>
    <row r="537" spans="1:11" x14ac:dyDescent="0.3">
      <c r="A537" t="s">
        <v>1846</v>
      </c>
      <c r="B537" t="s">
        <v>1849</v>
      </c>
      <c r="C537">
        <v>19</v>
      </c>
      <c r="D537" t="s">
        <v>1447</v>
      </c>
      <c r="E537" t="s">
        <v>1851</v>
      </c>
      <c r="F537" t="s">
        <v>1737</v>
      </c>
      <c r="K537" t="str">
        <f>IF(ISBLANK('Q 5'!E87),"",IF('Q 5'!E87="&lt;please select&gt;","",'Q 5'!E87))</f>
        <v>2H - Process - Other Industrial Process and Product Use</v>
      </c>
    </row>
    <row r="538" spans="1:11" x14ac:dyDescent="0.3">
      <c r="A538" t="s">
        <v>1846</v>
      </c>
      <c r="B538" t="s">
        <v>1849</v>
      </c>
      <c r="C538">
        <v>20</v>
      </c>
      <c r="D538" t="s">
        <v>1447</v>
      </c>
      <c r="E538" t="s">
        <v>1851</v>
      </c>
      <c r="F538" t="s">
        <v>1737</v>
      </c>
      <c r="K538" t="str">
        <f>IF(ISBLANK('Q 5'!E88),"",IF('Q 5'!E88="&lt;please select&gt;","",'Q 5'!E88))</f>
        <v/>
      </c>
    </row>
    <row r="539" spans="1:11" x14ac:dyDescent="0.3">
      <c r="A539" t="s">
        <v>1846</v>
      </c>
      <c r="B539" t="s">
        <v>1849</v>
      </c>
      <c r="C539">
        <v>21</v>
      </c>
      <c r="D539" t="s">
        <v>1447</v>
      </c>
      <c r="E539" t="s">
        <v>1851</v>
      </c>
      <c r="F539" t="s">
        <v>1737</v>
      </c>
      <c r="K539" t="str">
        <f>IF(ISBLANK('Q 5'!E89),"",IF('Q 5'!E89="&lt;please select&gt;","",'Q 5'!E89))</f>
        <v>2A2 - Process - Lime Production</v>
      </c>
    </row>
    <row r="540" spans="1:11" x14ac:dyDescent="0.3">
      <c r="A540" t="s">
        <v>1846</v>
      </c>
      <c r="B540" t="s">
        <v>1849</v>
      </c>
      <c r="C540">
        <v>22</v>
      </c>
      <c r="D540" t="s">
        <v>1447</v>
      </c>
      <c r="E540" t="s">
        <v>1851</v>
      </c>
      <c r="F540" t="s">
        <v>1737</v>
      </c>
      <c r="K540" t="str">
        <f>IF(ISBLANK('Q 5'!E90),"",IF('Q 5'!E90="&lt;please select&gt;","",'Q 5'!E90))</f>
        <v>2H - Process - Other Industrial Process and Product Use</v>
      </c>
    </row>
    <row r="541" spans="1:11" x14ac:dyDescent="0.3">
      <c r="A541" t="s">
        <v>1846</v>
      </c>
      <c r="B541" t="s">
        <v>1849</v>
      </c>
      <c r="C541">
        <v>23</v>
      </c>
      <c r="D541" t="s">
        <v>1447</v>
      </c>
      <c r="E541" t="s">
        <v>1851</v>
      </c>
      <c r="F541" t="s">
        <v>1737</v>
      </c>
      <c r="K541" t="str">
        <f>IF(ISBLANK('Q 5'!E91),"",IF('Q 5'!E91="&lt;please select&gt;","",'Q 5'!E91))</f>
        <v/>
      </c>
    </row>
    <row r="542" spans="1:11" x14ac:dyDescent="0.3">
      <c r="A542" t="s">
        <v>1846</v>
      </c>
      <c r="B542" t="s">
        <v>1849</v>
      </c>
      <c r="C542">
        <v>24</v>
      </c>
      <c r="D542" t="s">
        <v>1447</v>
      </c>
      <c r="E542" t="s">
        <v>1851</v>
      </c>
      <c r="F542" t="s">
        <v>1737</v>
      </c>
      <c r="K542" t="str">
        <f>IF(ISBLANK('Q 5'!E92),"",IF('Q 5'!E92="&lt;please select&gt;","",'Q 5'!E92))</f>
        <v>2A1 - Process - Cement Production</v>
      </c>
    </row>
    <row r="543" spans="1:11" x14ac:dyDescent="0.3">
      <c r="A543" t="s">
        <v>1846</v>
      </c>
      <c r="B543" t="s">
        <v>1849</v>
      </c>
      <c r="C543">
        <v>25</v>
      </c>
      <c r="D543" t="s">
        <v>1447</v>
      </c>
      <c r="E543" t="s">
        <v>1851</v>
      </c>
      <c r="F543" t="s">
        <v>1737</v>
      </c>
      <c r="K543" t="str">
        <f>IF(ISBLANK('Q 5'!E93),"",IF('Q 5'!E93="&lt;please select&gt;","",'Q 5'!E93))</f>
        <v>2A2 - Process - Lime Production</v>
      </c>
    </row>
    <row r="544" spans="1:11" x14ac:dyDescent="0.3">
      <c r="A544" t="s">
        <v>1846</v>
      </c>
      <c r="B544" t="s">
        <v>1849</v>
      </c>
      <c r="C544">
        <v>26</v>
      </c>
      <c r="D544" t="s">
        <v>1447</v>
      </c>
      <c r="E544" t="s">
        <v>1851</v>
      </c>
      <c r="F544" t="s">
        <v>1737</v>
      </c>
      <c r="K544" t="str">
        <f>IF(ISBLANK('Q 5'!E94),"",IF('Q 5'!E94="&lt;please select&gt;","",'Q 5'!E94))</f>
        <v>2A3 - Process - Glass production</v>
      </c>
    </row>
    <row r="545" spans="1:11" x14ac:dyDescent="0.3">
      <c r="A545" t="s">
        <v>1846</v>
      </c>
      <c r="B545" t="s">
        <v>1849</v>
      </c>
      <c r="C545">
        <v>27</v>
      </c>
      <c r="D545" t="s">
        <v>1447</v>
      </c>
      <c r="E545" t="s">
        <v>1851</v>
      </c>
      <c r="F545" t="s">
        <v>1737</v>
      </c>
      <c r="K545" t="str">
        <f>IF(ISBLANK('Q 5'!E95),"",IF('Q 5'!E95="&lt;please select&gt;","",'Q 5'!E95))</f>
        <v>2A4 - Process - Other Process Uses of Carbonates</v>
      </c>
    </row>
    <row r="546" spans="1:11" x14ac:dyDescent="0.3">
      <c r="A546" t="s">
        <v>1846</v>
      </c>
      <c r="B546" t="s">
        <v>1849</v>
      </c>
      <c r="C546">
        <v>28</v>
      </c>
      <c r="D546" t="s">
        <v>1447</v>
      </c>
      <c r="E546" t="s">
        <v>1851</v>
      </c>
      <c r="F546" t="s">
        <v>1737</v>
      </c>
      <c r="K546" t="str">
        <f>IF(ISBLANK('Q 5'!E96),"",IF('Q 5'!E96="&lt;please select&gt;","",'Q 5'!E96))</f>
        <v/>
      </c>
    </row>
    <row r="547" spans="1:11" x14ac:dyDescent="0.3">
      <c r="A547" t="s">
        <v>1846</v>
      </c>
      <c r="B547" t="s">
        <v>1849</v>
      </c>
      <c r="C547">
        <v>29</v>
      </c>
      <c r="D547" t="s">
        <v>1447</v>
      </c>
      <c r="E547" t="s">
        <v>1851</v>
      </c>
      <c r="F547" t="s">
        <v>1737</v>
      </c>
      <c r="K547" t="str">
        <f>IF(ISBLANK('Q 5'!E97),"",IF('Q 5'!E97="&lt;please select&gt;","",'Q 5'!E97))</f>
        <v>2A2 - Process - Lime Production</v>
      </c>
    </row>
    <row r="548" spans="1:11" x14ac:dyDescent="0.3">
      <c r="A548" t="s">
        <v>1846</v>
      </c>
      <c r="B548" t="s">
        <v>1849</v>
      </c>
      <c r="C548">
        <v>30</v>
      </c>
      <c r="D548" t="s">
        <v>1447</v>
      </c>
      <c r="E548" t="s">
        <v>1851</v>
      </c>
      <c r="F548" t="s">
        <v>1737</v>
      </c>
      <c r="K548" t="str">
        <f>IF(ISBLANK('Q 5'!E98),"",IF('Q 5'!E98="&lt;please select&gt;","",'Q 5'!E98))</f>
        <v>2A3 - Process - Glass production</v>
      </c>
    </row>
    <row r="549" spans="1:11" x14ac:dyDescent="0.3">
      <c r="A549" t="s">
        <v>1846</v>
      </c>
      <c r="B549" t="s">
        <v>1849</v>
      </c>
      <c r="C549">
        <v>31</v>
      </c>
      <c r="D549" t="s">
        <v>1447</v>
      </c>
      <c r="E549" t="s">
        <v>1851</v>
      </c>
      <c r="F549" t="s">
        <v>1737</v>
      </c>
      <c r="K549" t="str">
        <f>IF(ISBLANK('Q 5'!E99),"",IF('Q 5'!E99="&lt;please select&gt;","",'Q 5'!E99))</f>
        <v>2B10 - Process - Other Chemical Industry</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2A3 - Process - Glass production</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2A4 - Process - Other Process Uses of Carbonates</v>
      </c>
    </row>
    <row r="556" spans="1:11" x14ac:dyDescent="0.3">
      <c r="A556" t="s">
        <v>1846</v>
      </c>
      <c r="B556" t="s">
        <v>1849</v>
      </c>
      <c r="C556">
        <v>38</v>
      </c>
      <c r="D556" t="s">
        <v>1447</v>
      </c>
      <c r="E556" t="s">
        <v>1851</v>
      </c>
      <c r="F556" t="s">
        <v>1737</v>
      </c>
      <c r="K556" t="str">
        <f>IF(ISBLANK('Q 5'!E106),"",IF('Q 5'!E106="&lt;please select&gt;","",'Q 5'!E106))</f>
        <v>2B10 - Process - Other Chemical Industry</v>
      </c>
    </row>
    <row r="557" spans="1:11" x14ac:dyDescent="0.3">
      <c r="A557" t="s">
        <v>1846</v>
      </c>
      <c r="B557" t="s">
        <v>1849</v>
      </c>
      <c r="C557">
        <v>39</v>
      </c>
      <c r="D557" t="s">
        <v>1447</v>
      </c>
      <c r="E557" t="s">
        <v>1851</v>
      </c>
      <c r="F557" t="s">
        <v>1737</v>
      </c>
      <c r="K557" t="str">
        <f>IF(ISBLANK('Q 5'!E107),"",IF('Q 5'!E107="&lt;please select&gt;","",'Q 5'!E107))</f>
        <v>2A3 - Process - Glass production</v>
      </c>
    </row>
    <row r="558" spans="1:11" x14ac:dyDescent="0.3">
      <c r="A558" t="s">
        <v>1846</v>
      </c>
      <c r="B558" t="s">
        <v>1849</v>
      </c>
      <c r="C558">
        <v>40</v>
      </c>
      <c r="D558" t="s">
        <v>1447</v>
      </c>
      <c r="E558" t="s">
        <v>1851</v>
      </c>
      <c r="F558" t="s">
        <v>1737</v>
      </c>
      <c r="K558" t="str">
        <f>IF(ISBLANK('Q 5'!E108),"",IF('Q 5'!E108="&lt;please select&gt;","",'Q 5'!E108))</f>
        <v>2A4 - Process - Other Process Uses of Carbonates</v>
      </c>
    </row>
    <row r="559" spans="1:11" x14ac:dyDescent="0.3">
      <c r="A559" t="s">
        <v>1846</v>
      </c>
      <c r="B559" t="s">
        <v>1849</v>
      </c>
      <c r="C559">
        <v>41</v>
      </c>
      <c r="D559" t="s">
        <v>1447</v>
      </c>
      <c r="E559" t="s">
        <v>1851</v>
      </c>
      <c r="F559" t="s">
        <v>1737</v>
      </c>
      <c r="K559" t="str">
        <f>IF(ISBLANK('Q 5'!E109),"",IF('Q 5'!E109="&lt;please select&gt;","",'Q 5'!E109))</f>
        <v>2C1 - Process - Iron and Steel Production</v>
      </c>
    </row>
    <row r="560" spans="1:11" x14ac:dyDescent="0.3">
      <c r="A560" t="s">
        <v>1846</v>
      </c>
      <c r="B560" t="s">
        <v>1849</v>
      </c>
      <c r="C560">
        <v>42</v>
      </c>
      <c r="D560" t="s">
        <v>1447</v>
      </c>
      <c r="E560" t="s">
        <v>1851</v>
      </c>
      <c r="F560" t="s">
        <v>1737</v>
      </c>
      <c r="K560" t="str">
        <f>IF(ISBLANK('Q 5'!E110),"",IF('Q 5'!E110="&lt;please select&gt;","",'Q 5'!E110))</f>
        <v>2G - Process - Other Product Manufacture and Use</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30528202.0648939</v>
      </c>
    </row>
    <row r="650" spans="1:11" x14ac:dyDescent="0.3">
      <c r="A650" t="s">
        <v>1846</v>
      </c>
      <c r="B650" t="s">
        <v>1849</v>
      </c>
      <c r="C650">
        <v>2</v>
      </c>
      <c r="D650" t="s">
        <v>1447</v>
      </c>
      <c r="E650" t="s">
        <v>1852</v>
      </c>
      <c r="F650" t="s">
        <v>1806</v>
      </c>
      <c r="I650" t="str">
        <f>IF(ISBLANK('Q 5'!G70),"",IF('Q 5'!G70="&lt;please select&gt;","",'Q 5'!G70))</f>
        <v>6918711.07133422</v>
      </c>
    </row>
    <row r="651" spans="1:11" x14ac:dyDescent="0.3">
      <c r="A651" t="s">
        <v>1846</v>
      </c>
      <c r="B651" t="s">
        <v>1849</v>
      </c>
      <c r="C651">
        <v>3</v>
      </c>
      <c r="D651" t="s">
        <v>1447</v>
      </c>
      <c r="E651" t="s">
        <v>1852</v>
      </c>
      <c r="F651" t="s">
        <v>1806</v>
      </c>
      <c r="I651" t="str">
        <f>IF(ISBLANK('Q 5'!G71),"",IF('Q 5'!G71="&lt;please select&gt;","",'Q 5'!G71))</f>
        <v>848958.169629385</v>
      </c>
    </row>
    <row r="652" spans="1:11" x14ac:dyDescent="0.3">
      <c r="A652" t="s">
        <v>1846</v>
      </c>
      <c r="B652" t="s">
        <v>1849</v>
      </c>
      <c r="C652">
        <v>4</v>
      </c>
      <c r="D652" t="s">
        <v>1447</v>
      </c>
      <c r="E652" t="s">
        <v>1852</v>
      </c>
      <c r="F652" t="s">
        <v>1806</v>
      </c>
      <c r="I652" t="str">
        <f>IF(ISBLANK('Q 5'!G72),"",IF('Q 5'!G72="&lt;please select&gt;","",'Q 5'!G72))</f>
        <v>80116.4228401549</v>
      </c>
    </row>
    <row r="653" spans="1:11" x14ac:dyDescent="0.3">
      <c r="A653" t="s">
        <v>1846</v>
      </c>
      <c r="B653" t="s">
        <v>1849</v>
      </c>
      <c r="C653">
        <v>5</v>
      </c>
      <c r="D653" t="s">
        <v>1447</v>
      </c>
      <c r="E653" t="s">
        <v>1852</v>
      </c>
      <c r="F653" t="s">
        <v>1806</v>
      </c>
      <c r="I653" t="str">
        <f>IF(ISBLANK('Q 5'!G73),"",IF('Q 5'!G73="&lt;please select&gt;","",'Q 5'!G73))</f>
        <v>0</v>
      </c>
    </row>
    <row r="654" spans="1:11" x14ac:dyDescent="0.3">
      <c r="A654" t="s">
        <v>1846</v>
      </c>
      <c r="B654" t="s">
        <v>1849</v>
      </c>
      <c r="C654">
        <v>6</v>
      </c>
      <c r="D654" t="s">
        <v>1447</v>
      </c>
      <c r="E654" t="s">
        <v>1852</v>
      </c>
      <c r="F654" t="s">
        <v>1806</v>
      </c>
      <c r="I654" t="str">
        <f>IF(ISBLANK('Q 5'!G74),"",IF('Q 5'!G74="&lt;please select&gt;","",'Q 5'!G74))</f>
        <v>456.22690160595</v>
      </c>
    </row>
    <row r="655" spans="1:11" x14ac:dyDescent="0.3">
      <c r="A655" t="s">
        <v>1846</v>
      </c>
      <c r="B655" t="s">
        <v>1849</v>
      </c>
      <c r="C655">
        <v>7</v>
      </c>
      <c r="D655" t="s">
        <v>1447</v>
      </c>
      <c r="E655" t="s">
        <v>1852</v>
      </c>
      <c r="F655" t="s">
        <v>1806</v>
      </c>
      <c r="I655" t="str">
        <f>IF(ISBLANK('Q 5'!G75),"",IF('Q 5'!G75="&lt;please select&gt;","",'Q 5'!G75))</f>
        <v>957662.33025258</v>
      </c>
    </row>
    <row r="656" spans="1:11" x14ac:dyDescent="0.3">
      <c r="A656" t="s">
        <v>1846</v>
      </c>
      <c r="B656" t="s">
        <v>1849</v>
      </c>
      <c r="C656">
        <v>8</v>
      </c>
      <c r="D656" t="s">
        <v>1447</v>
      </c>
      <c r="E656" t="s">
        <v>1852</v>
      </c>
      <c r="F656" t="s">
        <v>1806</v>
      </c>
      <c r="I656" t="str">
        <f>IF(ISBLANK('Q 5'!G76),"",IF('Q 5'!G76="&lt;please select&gt;","",'Q 5'!G76))</f>
        <v>2165978.37547394</v>
      </c>
    </row>
    <row r="657" spans="1:9" x14ac:dyDescent="0.3">
      <c r="A657" t="s">
        <v>1846</v>
      </c>
      <c r="B657" t="s">
        <v>1849</v>
      </c>
      <c r="C657">
        <v>9</v>
      </c>
      <c r="D657" t="s">
        <v>1447</v>
      </c>
      <c r="E657" t="s">
        <v>1852</v>
      </c>
      <c r="F657" t="s">
        <v>1806</v>
      </c>
      <c r="I657" t="str">
        <f>IF(ISBLANK('Q 5'!G77),"",IF('Q 5'!G77="&lt;please select&gt;","",'Q 5'!G77))</f>
        <v>189225.612585501</v>
      </c>
    </row>
    <row r="658" spans="1:9" x14ac:dyDescent="0.3">
      <c r="A658" t="s">
        <v>1846</v>
      </c>
      <c r="B658" t="s">
        <v>1849</v>
      </c>
      <c r="C658">
        <v>10</v>
      </c>
      <c r="D658" t="s">
        <v>1447</v>
      </c>
      <c r="E658" t="s">
        <v>1852</v>
      </c>
      <c r="F658" t="s">
        <v>1806</v>
      </c>
      <c r="I658" t="str">
        <f>IF(ISBLANK('Q 5'!G78),"",IF('Q 5'!G78="&lt;please select&gt;","",'Q 5'!G78))</f>
        <v>3104209.51270044</v>
      </c>
    </row>
    <row r="659" spans="1:9" x14ac:dyDescent="0.3">
      <c r="A659" t="s">
        <v>1846</v>
      </c>
      <c r="B659" t="s">
        <v>1849</v>
      </c>
      <c r="C659">
        <v>11</v>
      </c>
      <c r="D659" t="s">
        <v>1447</v>
      </c>
      <c r="E659" t="s">
        <v>1852</v>
      </c>
      <c r="F659" t="s">
        <v>1806</v>
      </c>
      <c r="I659" t="str">
        <f>IF(ISBLANK('Q 5'!G79),"",IF('Q 5'!G79="&lt;please select&gt;","",'Q 5'!G79))</f>
        <v>25174.7935687675</v>
      </c>
    </row>
    <row r="660" spans="1:9" x14ac:dyDescent="0.3">
      <c r="A660" t="s">
        <v>1846</v>
      </c>
      <c r="B660" t="s">
        <v>1849</v>
      </c>
      <c r="C660">
        <v>12</v>
      </c>
      <c r="D660" t="s">
        <v>1447</v>
      </c>
      <c r="E660" t="s">
        <v>1852</v>
      </c>
      <c r="F660" t="s">
        <v>1806</v>
      </c>
      <c r="I660" t="str">
        <f>IF(ISBLANK('Q 5'!G80),"",IF('Q 5'!G80="&lt;please select&gt;","",'Q 5'!G80))</f>
        <v>24130.7484207265</v>
      </c>
    </row>
    <row r="661" spans="1:9" x14ac:dyDescent="0.3">
      <c r="A661" t="s">
        <v>1846</v>
      </c>
      <c r="B661" t="s">
        <v>1849</v>
      </c>
      <c r="C661">
        <v>13</v>
      </c>
      <c r="D661" t="s">
        <v>1447</v>
      </c>
      <c r="E661" t="s">
        <v>1852</v>
      </c>
      <c r="F661" t="s">
        <v>1806</v>
      </c>
      <c r="I661" t="str">
        <f>IF(ISBLANK('Q 5'!G81),"",IF('Q 5'!G81="&lt;please select&gt;","",'Q 5'!G81))</f>
        <v>47912.89240962</v>
      </c>
    </row>
    <row r="662" spans="1:9" x14ac:dyDescent="0.3">
      <c r="A662" t="s">
        <v>1846</v>
      </c>
      <c r="B662" t="s">
        <v>1849</v>
      </c>
      <c r="C662">
        <v>14</v>
      </c>
      <c r="D662" t="s">
        <v>1447</v>
      </c>
      <c r="E662" t="s">
        <v>1852</v>
      </c>
      <c r="F662" t="s">
        <v>1806</v>
      </c>
      <c r="I662" t="str">
        <f>IF(ISBLANK('Q 5'!G82),"",IF('Q 5'!G82="&lt;please select&gt;","",'Q 5'!G82))</f>
        <v>838445.381038017</v>
      </c>
    </row>
    <row r="663" spans="1:9" x14ac:dyDescent="0.3">
      <c r="A663" t="s">
        <v>1846</v>
      </c>
      <c r="B663" t="s">
        <v>1849</v>
      </c>
      <c r="C663">
        <v>15</v>
      </c>
      <c r="D663" t="s">
        <v>1447</v>
      </c>
      <c r="E663" t="s">
        <v>1852</v>
      </c>
      <c r="F663" t="s">
        <v>1806</v>
      </c>
      <c r="I663" t="str">
        <f>IF(ISBLANK('Q 5'!G83),"",IF('Q 5'!G83="&lt;please select&gt;","",'Q 5'!G83))</f>
        <v>704957.451510928</v>
      </c>
    </row>
    <row r="664" spans="1:9" x14ac:dyDescent="0.3">
      <c r="A664" t="s">
        <v>1846</v>
      </c>
      <c r="B664" t="s">
        <v>1849</v>
      </c>
      <c r="C664">
        <v>16</v>
      </c>
      <c r="D664" t="s">
        <v>1447</v>
      </c>
      <c r="E664" t="s">
        <v>1852</v>
      </c>
      <c r="F664" t="s">
        <v>1806</v>
      </c>
      <c r="I664" t="str">
        <f>IF(ISBLANK('Q 5'!G84),"",IF('Q 5'!G84="&lt;please select&gt;","",'Q 5'!G84))</f>
        <v>94853.992469707</v>
      </c>
    </row>
    <row r="665" spans="1:9" x14ac:dyDescent="0.3">
      <c r="A665" t="s">
        <v>1846</v>
      </c>
      <c r="B665" t="s">
        <v>1849</v>
      </c>
      <c r="C665">
        <v>17</v>
      </c>
      <c r="D665" t="s">
        <v>1447</v>
      </c>
      <c r="E665" t="s">
        <v>1852</v>
      </c>
      <c r="F665" t="s">
        <v>1806</v>
      </c>
      <c r="I665" t="str">
        <f>IF(ISBLANK('Q 5'!G85),"",IF('Q 5'!G85="&lt;please select&gt;","",'Q 5'!G85))</f>
        <v>2641044.76036361</v>
      </c>
    </row>
    <row r="666" spans="1:9" x14ac:dyDescent="0.3">
      <c r="A666" t="s">
        <v>1846</v>
      </c>
      <c r="B666" t="s">
        <v>1849</v>
      </c>
      <c r="C666">
        <v>18</v>
      </c>
      <c r="D666" t="s">
        <v>1447</v>
      </c>
      <c r="E666" t="s">
        <v>1852</v>
      </c>
      <c r="F666" t="s">
        <v>1806</v>
      </c>
      <c r="I666" t="str">
        <f>IF(ISBLANK('Q 5'!G86),"",IF('Q 5'!G86="&lt;please select&gt;","",'Q 5'!G86))</f>
        <v>87250.5916086416</v>
      </c>
    </row>
    <row r="667" spans="1:9" x14ac:dyDescent="0.3">
      <c r="A667" t="s">
        <v>1846</v>
      </c>
      <c r="B667" t="s">
        <v>1849</v>
      </c>
      <c r="C667">
        <v>19</v>
      </c>
      <c r="D667" t="s">
        <v>1447</v>
      </c>
      <c r="E667" t="s">
        <v>1852</v>
      </c>
      <c r="F667" t="s">
        <v>1806</v>
      </c>
      <c r="I667" t="str">
        <f>IF(ISBLANK('Q 5'!G87),"",IF('Q 5'!G87="&lt;please select&gt;","",'Q 5'!G87))</f>
        <v>437080.064732924</v>
      </c>
    </row>
    <row r="668" spans="1:9" x14ac:dyDescent="0.3">
      <c r="A668" t="s">
        <v>1846</v>
      </c>
      <c r="B668" t="s">
        <v>1849</v>
      </c>
      <c r="C668">
        <v>20</v>
      </c>
      <c r="D668" t="s">
        <v>1447</v>
      </c>
      <c r="E668" t="s">
        <v>1852</v>
      </c>
      <c r="F668" t="s">
        <v>1806</v>
      </c>
      <c r="I668" t="str">
        <f>IF(ISBLANK('Q 5'!G88),"",IF('Q 5'!G88="&lt;please select&gt;","",'Q 5'!G88))</f>
        <v>168887.143145066</v>
      </c>
    </row>
    <row r="669" spans="1:9" x14ac:dyDescent="0.3">
      <c r="A669" t="s">
        <v>1846</v>
      </c>
      <c r="B669" t="s">
        <v>1849</v>
      </c>
      <c r="C669">
        <v>21</v>
      </c>
      <c r="D669" t="s">
        <v>1447</v>
      </c>
      <c r="E669" t="s">
        <v>1852</v>
      </c>
      <c r="F669" t="s">
        <v>1806</v>
      </c>
      <c r="I669" t="str">
        <f>IF(ISBLANK('Q 5'!G89),"",IF('Q 5'!G89="&lt;please select&gt;","",'Q 5'!G89))</f>
        <v>132409.631351039</v>
      </c>
    </row>
    <row r="670" spans="1:9" x14ac:dyDescent="0.3">
      <c r="A670" t="s">
        <v>1846</v>
      </c>
      <c r="B670" t="s">
        <v>1849</v>
      </c>
      <c r="C670">
        <v>22</v>
      </c>
      <c r="D670" t="s">
        <v>1447</v>
      </c>
      <c r="E670" t="s">
        <v>1852</v>
      </c>
      <c r="F670" t="s">
        <v>1806</v>
      </c>
      <c r="I670" t="str">
        <f>IF(ISBLANK('Q 5'!G90),"",IF('Q 5'!G90="&lt;please select&gt;","",'Q 5'!G90))</f>
        <v>20783.852083074</v>
      </c>
    </row>
    <row r="671" spans="1:9" x14ac:dyDescent="0.3">
      <c r="A671" t="s">
        <v>1846</v>
      </c>
      <c r="B671" t="s">
        <v>1849</v>
      </c>
      <c r="C671">
        <v>23</v>
      </c>
      <c r="D671" t="s">
        <v>1447</v>
      </c>
      <c r="E671" t="s">
        <v>1852</v>
      </c>
      <c r="F671" t="s">
        <v>1806</v>
      </c>
      <c r="I671" t="str">
        <f>IF(ISBLANK('Q 5'!G91),"",IF('Q 5'!G91="&lt;please select&gt;","",'Q 5'!G91))</f>
        <v>40194.664701526</v>
      </c>
    </row>
    <row r="672" spans="1:9" x14ac:dyDescent="0.3">
      <c r="A672" t="s">
        <v>1846</v>
      </c>
      <c r="B672" t="s">
        <v>1849</v>
      </c>
      <c r="C672">
        <v>24</v>
      </c>
      <c r="D672" t="s">
        <v>1447</v>
      </c>
      <c r="E672" t="s">
        <v>1852</v>
      </c>
      <c r="F672" t="s">
        <v>1806</v>
      </c>
      <c r="I672" t="str">
        <f>IF(ISBLANK('Q 5'!G92),"",IF('Q 5'!G92="&lt;please select&gt;","",'Q 5'!G92))</f>
        <v>2822157.78594521</v>
      </c>
    </row>
    <row r="673" spans="1:9" x14ac:dyDescent="0.3">
      <c r="A673" t="s">
        <v>1846</v>
      </c>
      <c r="B673" t="s">
        <v>1849</v>
      </c>
      <c r="C673">
        <v>25</v>
      </c>
      <c r="D673" t="s">
        <v>1447</v>
      </c>
      <c r="E673" t="s">
        <v>1852</v>
      </c>
      <c r="F673" t="s">
        <v>1806</v>
      </c>
      <c r="I673" t="str">
        <f>IF(ISBLANK('Q 5'!G93),"",IF('Q 5'!G93="&lt;please select&gt;","",'Q 5'!G93))</f>
        <v>954168.315309487</v>
      </c>
    </row>
    <row r="674" spans="1:9" x14ac:dyDescent="0.3">
      <c r="A674" t="s">
        <v>1846</v>
      </c>
      <c r="B674" t="s">
        <v>1849</v>
      </c>
      <c r="C674">
        <v>26</v>
      </c>
      <c r="D674" t="s">
        <v>1447</v>
      </c>
      <c r="E674" t="s">
        <v>1852</v>
      </c>
      <c r="F674" t="s">
        <v>1806</v>
      </c>
      <c r="I674" t="str">
        <f>IF(ISBLANK('Q 5'!G94),"",IF('Q 5'!G94="&lt;please select&gt;","",'Q 5'!G94))</f>
        <v>380500.720244542</v>
      </c>
    </row>
    <row r="675" spans="1:9" x14ac:dyDescent="0.3">
      <c r="A675" t="s">
        <v>1846</v>
      </c>
      <c r="B675" t="s">
        <v>1849</v>
      </c>
      <c r="C675">
        <v>27</v>
      </c>
      <c r="D675" t="s">
        <v>1447</v>
      </c>
      <c r="E675" t="s">
        <v>1852</v>
      </c>
      <c r="F675" t="s">
        <v>1806</v>
      </c>
      <c r="I675" t="str">
        <f>IF(ISBLANK('Q 5'!G95),"",IF('Q 5'!G95="&lt;please select&gt;","",'Q 5'!G95))</f>
        <v>425237.701749385</v>
      </c>
    </row>
    <row r="676" spans="1:9" x14ac:dyDescent="0.3">
      <c r="A676" t="s">
        <v>1846</v>
      </c>
      <c r="B676" t="s">
        <v>1849</v>
      </c>
      <c r="C676">
        <v>28</v>
      </c>
      <c r="D676" t="s">
        <v>1447</v>
      </c>
      <c r="E676" t="s">
        <v>1852</v>
      </c>
      <c r="F676" t="s">
        <v>1806</v>
      </c>
      <c r="I676" t="str">
        <f>IF(ISBLANK('Q 5'!G96),"",IF('Q 5'!G96="&lt;please select&gt;","",'Q 5'!G96))</f>
        <v>166107.163897149</v>
      </c>
    </row>
    <row r="677" spans="1:9" x14ac:dyDescent="0.3">
      <c r="A677" t="s">
        <v>1846</v>
      </c>
      <c r="B677" t="s">
        <v>1849</v>
      </c>
      <c r="C677">
        <v>29</v>
      </c>
      <c r="D677" t="s">
        <v>1447</v>
      </c>
      <c r="E677" t="s">
        <v>1852</v>
      </c>
      <c r="F677" t="s">
        <v>1806</v>
      </c>
      <c r="I677" t="str">
        <f>IF(ISBLANK('Q 5'!G97),"",IF('Q 5'!G97="&lt;please select&gt;","",'Q 5'!G97))</f>
        <v>22456.7842598325</v>
      </c>
    </row>
    <row r="678" spans="1:9" x14ac:dyDescent="0.3">
      <c r="A678" t="s">
        <v>1846</v>
      </c>
      <c r="B678" t="s">
        <v>1849</v>
      </c>
      <c r="C678">
        <v>30</v>
      </c>
      <c r="D678" t="s">
        <v>1447</v>
      </c>
      <c r="E678" t="s">
        <v>1852</v>
      </c>
      <c r="F678" t="s">
        <v>1806</v>
      </c>
      <c r="I678" t="str">
        <f>IF(ISBLANK('Q 5'!G98),"",IF('Q 5'!G98="&lt;please select&gt;","",'Q 5'!G98))</f>
        <v>6386.28660328499</v>
      </c>
    </row>
    <row r="679" spans="1:9" x14ac:dyDescent="0.3">
      <c r="A679" t="s">
        <v>1846</v>
      </c>
      <c r="B679" t="s">
        <v>1849</v>
      </c>
      <c r="C679">
        <v>31</v>
      </c>
      <c r="D679" t="s">
        <v>1447</v>
      </c>
      <c r="E679" t="s">
        <v>1852</v>
      </c>
      <c r="F679" t="s">
        <v>1806</v>
      </c>
      <c r="I679" t="str">
        <f>IF(ISBLANK('Q 5'!G99),"",IF('Q 5'!G99="&lt;please select&gt;","",'Q 5'!G99))</f>
        <v>0</v>
      </c>
    </row>
    <row r="680" spans="1:9" x14ac:dyDescent="0.3">
      <c r="A680" t="s">
        <v>1846</v>
      </c>
      <c r="B680" t="s">
        <v>1849</v>
      </c>
      <c r="C680">
        <v>32</v>
      </c>
      <c r="D680" t="s">
        <v>1447</v>
      </c>
      <c r="E680" t="s">
        <v>1852</v>
      </c>
      <c r="F680" t="s">
        <v>1806</v>
      </c>
      <c r="I680" t="str">
        <f>IF(ISBLANK('Q 5'!G100),"",IF('Q 5'!G100="&lt;please select&gt;","",'Q 5'!G100))</f>
        <v>39630.309604324</v>
      </c>
    </row>
    <row r="681" spans="1:9" x14ac:dyDescent="0.3">
      <c r="A681" t="s">
        <v>1846</v>
      </c>
      <c r="B681" t="s">
        <v>1849</v>
      </c>
      <c r="C681">
        <v>33</v>
      </c>
      <c r="D681" t="s">
        <v>1447</v>
      </c>
      <c r="E681" t="s">
        <v>1852</v>
      </c>
      <c r="F681" t="s">
        <v>1806</v>
      </c>
      <c r="I681" t="str">
        <f>IF(ISBLANK('Q 5'!G101),"",IF('Q 5'!G101="&lt;please select&gt;","",'Q 5'!G101))</f>
        <v>25315.2973105795</v>
      </c>
    </row>
    <row r="682" spans="1:9" x14ac:dyDescent="0.3">
      <c r="A682" t="s">
        <v>1846</v>
      </c>
      <c r="B682" t="s">
        <v>1849</v>
      </c>
      <c r="C682">
        <v>34</v>
      </c>
      <c r="D682" t="s">
        <v>1447</v>
      </c>
      <c r="E682" t="s">
        <v>1852</v>
      </c>
      <c r="F682" t="s">
        <v>1806</v>
      </c>
      <c r="I682" t="str">
        <f>IF(ISBLANK('Q 5'!G102),"",IF('Q 5'!G102="&lt;please select&gt;","",'Q 5'!G102))</f>
        <v>26869.8747752135</v>
      </c>
    </row>
    <row r="683" spans="1:9" x14ac:dyDescent="0.3">
      <c r="A683" t="s">
        <v>1846</v>
      </c>
      <c r="B683" t="s">
        <v>1849</v>
      </c>
      <c r="C683">
        <v>35</v>
      </c>
      <c r="D683" t="s">
        <v>1447</v>
      </c>
      <c r="E683" t="s">
        <v>1852</v>
      </c>
      <c r="F683" t="s">
        <v>1806</v>
      </c>
      <c r="I683" t="str">
        <f>IF(ISBLANK('Q 5'!G103),"",IF('Q 5'!G103="&lt;please select&gt;","",'Q 5'!G103))</f>
        <v>302012.002082276</v>
      </c>
    </row>
    <row r="684" spans="1:9" x14ac:dyDescent="0.3">
      <c r="A684" t="s">
        <v>1846</v>
      </c>
      <c r="B684" t="s">
        <v>1849</v>
      </c>
      <c r="C684">
        <v>36</v>
      </c>
      <c r="D684" t="s">
        <v>1447</v>
      </c>
      <c r="E684" t="s">
        <v>1852</v>
      </c>
      <c r="F684" t="s">
        <v>1806</v>
      </c>
      <c r="I684" t="str">
        <f>IF(ISBLANK('Q 5'!G104),"",IF('Q 5'!G104="&lt;please select&gt;","",'Q 5'!G104))</f>
        <v>45647.5750164208</v>
      </c>
    </row>
    <row r="685" spans="1:9" x14ac:dyDescent="0.3">
      <c r="A685" t="s">
        <v>1846</v>
      </c>
      <c r="B685" t="s">
        <v>1849</v>
      </c>
      <c r="C685">
        <v>37</v>
      </c>
      <c r="D685" t="s">
        <v>1447</v>
      </c>
      <c r="E685" t="s">
        <v>1852</v>
      </c>
      <c r="F685" t="s">
        <v>1806</v>
      </c>
      <c r="I685" t="str">
        <f>IF(ISBLANK('Q 5'!G105),"",IF('Q 5'!G105="&lt;please select&gt;","",'Q 5'!G105))</f>
        <v>41789.6320663475</v>
      </c>
    </row>
    <row r="686" spans="1:9" x14ac:dyDescent="0.3">
      <c r="A686" t="s">
        <v>1846</v>
      </c>
      <c r="B686" t="s">
        <v>1849</v>
      </c>
      <c r="C686">
        <v>38</v>
      </c>
      <c r="D686" t="s">
        <v>1447</v>
      </c>
      <c r="E686" t="s">
        <v>1852</v>
      </c>
      <c r="F686" t="s">
        <v>1806</v>
      </c>
      <c r="I686" t="str">
        <f>IF(ISBLANK('Q 5'!G106),"",IF('Q 5'!G106="&lt;please select&gt;","",'Q 5'!G106))</f>
        <v>39744.5519424969</v>
      </c>
    </row>
    <row r="687" spans="1:9" x14ac:dyDescent="0.3">
      <c r="A687" t="s">
        <v>1846</v>
      </c>
      <c r="B687" t="s">
        <v>1849</v>
      </c>
      <c r="C687">
        <v>39</v>
      </c>
      <c r="D687" t="s">
        <v>1447</v>
      </c>
      <c r="E687" t="s">
        <v>1852</v>
      </c>
      <c r="F687" t="s">
        <v>1806</v>
      </c>
      <c r="I687" t="str">
        <f>IF(ISBLANK('Q 5'!G107),"",IF('Q 5'!G107="&lt;please select&gt;","",'Q 5'!G107))</f>
        <v>26970.672835133</v>
      </c>
    </row>
    <row r="688" spans="1:9" x14ac:dyDescent="0.3">
      <c r="A688" t="s">
        <v>1846</v>
      </c>
      <c r="B688" t="s">
        <v>1849</v>
      </c>
      <c r="C688">
        <v>40</v>
      </c>
      <c r="D688" t="s">
        <v>1447</v>
      </c>
      <c r="E688" t="s">
        <v>1852</v>
      </c>
      <c r="F688" t="s">
        <v>1806</v>
      </c>
      <c r="I688" t="str">
        <f>IF(ISBLANK('Q 5'!G108),"",IF('Q 5'!G108="&lt;please select&gt;","",'Q 5'!G108))</f>
        <v>0</v>
      </c>
    </row>
    <row r="689" spans="1:9" x14ac:dyDescent="0.3">
      <c r="A689" t="s">
        <v>1846</v>
      </c>
      <c r="B689" t="s">
        <v>1849</v>
      </c>
      <c r="C689">
        <v>41</v>
      </c>
      <c r="D689" t="s">
        <v>1447</v>
      </c>
      <c r="E689" t="s">
        <v>1852</v>
      </c>
      <c r="F689" t="s">
        <v>1806</v>
      </c>
      <c r="I689" t="str">
        <f>IF(ISBLANK('Q 5'!G109),"",IF('Q 5'!G109="&lt;please select&gt;","",'Q 5'!G109))</f>
        <v>2532658.26193605</v>
      </c>
    </row>
    <row r="690" spans="1:9" x14ac:dyDescent="0.3">
      <c r="A690" t="s">
        <v>1846</v>
      </c>
      <c r="B690" t="s">
        <v>1849</v>
      </c>
      <c r="C690">
        <v>42</v>
      </c>
      <c r="D690" t="s">
        <v>1447</v>
      </c>
      <c r="E690" t="s">
        <v>1852</v>
      </c>
      <c r="F690" t="s">
        <v>1806</v>
      </c>
      <c r="I690" t="str">
        <f>IF(ISBLANK('Q 5'!G110),"",IF('Q 5'!G110="&lt;please select&gt;","",'Q 5'!G110))</f>
        <v>5634.429584</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30137363.3775838</v>
      </c>
    </row>
    <row r="780" spans="1:9" x14ac:dyDescent="0.3">
      <c r="A780" t="s">
        <v>1846</v>
      </c>
      <c r="B780" t="s">
        <v>1849</v>
      </c>
      <c r="C780">
        <v>2</v>
      </c>
      <c r="D780" t="s">
        <v>1447</v>
      </c>
      <c r="E780" t="s">
        <v>1853</v>
      </c>
      <c r="F780" t="s">
        <v>1806</v>
      </c>
      <c r="I780" t="str">
        <f>IF(ISBLANK('Q 5'!H70),"",IF('Q 5'!H70="&lt;please select&gt;","",'Q 5'!H70))</f>
        <v>6839140.48437303</v>
      </c>
    </row>
    <row r="781" spans="1:9" x14ac:dyDescent="0.3">
      <c r="A781" t="s">
        <v>1846</v>
      </c>
      <c r="B781" t="s">
        <v>1849</v>
      </c>
      <c r="C781">
        <v>3</v>
      </c>
      <c r="D781" t="s">
        <v>1447</v>
      </c>
      <c r="E781" t="s">
        <v>1853</v>
      </c>
      <c r="F781" t="s">
        <v>1806</v>
      </c>
      <c r="I781" t="str">
        <f>IF(ISBLANK('Q 5'!H71),"",IF('Q 5'!H71="&lt;please select&gt;","",'Q 5'!H71))</f>
        <v>769212.201277571</v>
      </c>
    </row>
    <row r="782" spans="1:9" x14ac:dyDescent="0.3">
      <c r="A782" t="s">
        <v>1846</v>
      </c>
      <c r="B782" t="s">
        <v>1849</v>
      </c>
      <c r="C782">
        <v>4</v>
      </c>
      <c r="D782" t="s">
        <v>1447</v>
      </c>
      <c r="E782" t="s">
        <v>1853</v>
      </c>
      <c r="F782" t="s">
        <v>1806</v>
      </c>
      <c r="I782" t="str">
        <f>IF(ISBLANK('Q 5'!H72),"",IF('Q 5'!H72="&lt;please select&gt;","",'Q 5'!H72))</f>
        <v>76079.1168016549</v>
      </c>
    </row>
    <row r="783" spans="1:9" x14ac:dyDescent="0.3">
      <c r="A783" t="s">
        <v>1846</v>
      </c>
      <c r="B783" t="s">
        <v>1849</v>
      </c>
      <c r="C783">
        <v>5</v>
      </c>
      <c r="D783" t="s">
        <v>1447</v>
      </c>
      <c r="E783" t="s">
        <v>1853</v>
      </c>
      <c r="F783" t="s">
        <v>1806</v>
      </c>
      <c r="I783" t="str">
        <f>IF(ISBLANK('Q 5'!H73),"",IF('Q 5'!H73="&lt;please select&gt;","",'Q 5'!H73))</f>
        <v>0</v>
      </c>
    </row>
    <row r="784" spans="1:9" x14ac:dyDescent="0.3">
      <c r="A784" t="s">
        <v>1846</v>
      </c>
      <c r="B784" t="s">
        <v>1849</v>
      </c>
      <c r="C784">
        <v>6</v>
      </c>
      <c r="D784" t="s">
        <v>1447</v>
      </c>
      <c r="E784" t="s">
        <v>1853</v>
      </c>
      <c r="F784" t="s">
        <v>1806</v>
      </c>
      <c r="I784" t="str">
        <f>IF(ISBLANK('Q 5'!H74),"",IF('Q 5'!H74="&lt;please select&gt;","",'Q 5'!H74))</f>
        <v>456.22690160595</v>
      </c>
    </row>
    <row r="785" spans="1:9" x14ac:dyDescent="0.3">
      <c r="A785" t="s">
        <v>1846</v>
      </c>
      <c r="B785" t="s">
        <v>1849</v>
      </c>
      <c r="C785">
        <v>7</v>
      </c>
      <c r="D785" t="s">
        <v>1447</v>
      </c>
      <c r="E785" t="s">
        <v>1853</v>
      </c>
      <c r="F785" t="s">
        <v>1806</v>
      </c>
      <c r="I785" t="str">
        <f>IF(ISBLANK('Q 5'!H75),"",IF('Q 5'!H75="&lt;please select&gt;","",'Q 5'!H75))</f>
        <v>957662.33025258</v>
      </c>
    </row>
    <row r="786" spans="1:9" x14ac:dyDescent="0.3">
      <c r="A786" t="s">
        <v>1846</v>
      </c>
      <c r="B786" t="s">
        <v>1849</v>
      </c>
      <c r="C786">
        <v>8</v>
      </c>
      <c r="D786" t="s">
        <v>1447</v>
      </c>
      <c r="E786" t="s">
        <v>1853</v>
      </c>
      <c r="F786" t="s">
        <v>1806</v>
      </c>
      <c r="I786" t="str">
        <f>IF(ISBLANK('Q 5'!H76),"",IF('Q 5'!H76="&lt;please select&gt;","",'Q 5'!H76))</f>
        <v>2163783.72592551</v>
      </c>
    </row>
    <row r="787" spans="1:9" x14ac:dyDescent="0.3">
      <c r="A787" t="s">
        <v>1846</v>
      </c>
      <c r="B787" t="s">
        <v>1849</v>
      </c>
      <c r="C787">
        <v>9</v>
      </c>
      <c r="D787" t="s">
        <v>1447</v>
      </c>
      <c r="E787" t="s">
        <v>1853</v>
      </c>
      <c r="F787" t="s">
        <v>1806</v>
      </c>
      <c r="I787" t="str">
        <f>IF(ISBLANK('Q 5'!H77),"",IF('Q 5'!H77="&lt;please select&gt;","",'Q 5'!H77))</f>
        <v>189225.612585501</v>
      </c>
    </row>
    <row r="788" spans="1:9" x14ac:dyDescent="0.3">
      <c r="A788" t="s">
        <v>1846</v>
      </c>
      <c r="B788" t="s">
        <v>1849</v>
      </c>
      <c r="C788">
        <v>10</v>
      </c>
      <c r="D788" t="s">
        <v>1447</v>
      </c>
      <c r="E788" t="s">
        <v>1853</v>
      </c>
      <c r="F788" t="s">
        <v>1806</v>
      </c>
      <c r="I788" t="str">
        <f>IF(ISBLANK('Q 5'!H78),"",IF('Q 5'!H78="&lt;please select&gt;","",'Q 5'!H78))</f>
        <v>2562898.69351188</v>
      </c>
    </row>
    <row r="789" spans="1:9" x14ac:dyDescent="0.3">
      <c r="A789" t="s">
        <v>1846</v>
      </c>
      <c r="B789" t="s">
        <v>1849</v>
      </c>
      <c r="C789">
        <v>11</v>
      </c>
      <c r="D789" t="s">
        <v>1447</v>
      </c>
      <c r="E789" t="s">
        <v>1853</v>
      </c>
      <c r="F789" t="s">
        <v>1806</v>
      </c>
      <c r="I789" t="str">
        <f>IF(ISBLANK('Q 5'!H79),"",IF('Q 5'!H79="&lt;please select&gt;","",'Q 5'!H79))</f>
        <v>25174.7935687675</v>
      </c>
    </row>
    <row r="790" spans="1:9" x14ac:dyDescent="0.3">
      <c r="A790" t="s">
        <v>1846</v>
      </c>
      <c r="B790" t="s">
        <v>1849</v>
      </c>
      <c r="C790">
        <v>12</v>
      </c>
      <c r="D790" t="s">
        <v>1447</v>
      </c>
      <c r="E790" t="s">
        <v>1853</v>
      </c>
      <c r="F790" t="s">
        <v>1806</v>
      </c>
      <c r="I790" t="str">
        <f>IF(ISBLANK('Q 5'!H80),"",IF('Q 5'!H80="&lt;please select&gt;","",'Q 5'!H80))</f>
        <v>24130.7484207265</v>
      </c>
    </row>
    <row r="791" spans="1:9" x14ac:dyDescent="0.3">
      <c r="A791" t="s">
        <v>1846</v>
      </c>
      <c r="B791" t="s">
        <v>1849</v>
      </c>
      <c r="C791">
        <v>13</v>
      </c>
      <c r="D791" t="s">
        <v>1447</v>
      </c>
      <c r="E791" t="s">
        <v>1853</v>
      </c>
      <c r="F791" t="s">
        <v>1806</v>
      </c>
      <c r="I791" t="str">
        <f>IF(ISBLANK('Q 5'!H81),"",IF('Q 5'!H81="&lt;please select&gt;","",'Q 5'!H81))</f>
        <v>47912.89240962</v>
      </c>
    </row>
    <row r="792" spans="1:9" x14ac:dyDescent="0.3">
      <c r="A792" t="s">
        <v>1846</v>
      </c>
      <c r="B792" t="s">
        <v>1849</v>
      </c>
      <c r="C792">
        <v>14</v>
      </c>
      <c r="D792" t="s">
        <v>1447</v>
      </c>
      <c r="E792" t="s">
        <v>1853</v>
      </c>
      <c r="F792" t="s">
        <v>1806</v>
      </c>
      <c r="I792" t="str">
        <f>IF(ISBLANK('Q 5'!H82),"",IF('Q 5'!H82="&lt;please select&gt;","",'Q 5'!H82))</f>
        <v>11366.2514558187</v>
      </c>
    </row>
    <row r="793" spans="1:9" x14ac:dyDescent="0.3">
      <c r="A793" t="s">
        <v>1846</v>
      </c>
      <c r="B793" t="s">
        <v>1849</v>
      </c>
      <c r="C793">
        <v>15</v>
      </c>
      <c r="D793" t="s">
        <v>1447</v>
      </c>
      <c r="E793" t="s">
        <v>1853</v>
      </c>
      <c r="F793" t="s">
        <v>1806</v>
      </c>
      <c r="I793" t="str">
        <f>IF(ISBLANK('Q 5'!H83),"",IF('Q 5'!H83="&lt;please select&gt;","",'Q 5'!H83))</f>
        <v>556337.832374937</v>
      </c>
    </row>
    <row r="794" spans="1:9" x14ac:dyDescent="0.3">
      <c r="A794" t="s">
        <v>1846</v>
      </c>
      <c r="B794" t="s">
        <v>1849</v>
      </c>
      <c r="C794">
        <v>16</v>
      </c>
      <c r="D794" t="s">
        <v>1447</v>
      </c>
      <c r="E794" t="s">
        <v>1853</v>
      </c>
      <c r="F794" t="s">
        <v>1806</v>
      </c>
      <c r="I794" t="str">
        <f>IF(ISBLANK('Q 5'!H84),"",IF('Q 5'!H84="&lt;please select&gt;","",'Q 5'!H84))</f>
        <v>41757.201345503</v>
      </c>
    </row>
    <row r="795" spans="1:9" x14ac:dyDescent="0.3">
      <c r="A795" t="s">
        <v>1846</v>
      </c>
      <c r="B795" t="s">
        <v>1849</v>
      </c>
      <c r="C795">
        <v>17</v>
      </c>
      <c r="D795" t="s">
        <v>1447</v>
      </c>
      <c r="E795" t="s">
        <v>1853</v>
      </c>
      <c r="F795" t="s">
        <v>1806</v>
      </c>
      <c r="I795" t="str">
        <f>IF(ISBLANK('Q 5'!H85),"",IF('Q 5'!H85="&lt;please select&gt;","",'Q 5'!H85))</f>
        <v>2640918.22940394</v>
      </c>
    </row>
    <row r="796" spans="1:9" x14ac:dyDescent="0.3">
      <c r="A796" t="s">
        <v>1846</v>
      </c>
      <c r="B796" t="s">
        <v>1849</v>
      </c>
      <c r="C796">
        <v>18</v>
      </c>
      <c r="D796" t="s">
        <v>1447</v>
      </c>
      <c r="E796" t="s">
        <v>1853</v>
      </c>
      <c r="F796" t="s">
        <v>1806</v>
      </c>
      <c r="I796" t="str">
        <f>IF(ISBLANK('Q 5'!H86),"",IF('Q 5'!H86="&lt;please select&gt;","",'Q 5'!H86))</f>
        <v>87250.5916086416</v>
      </c>
    </row>
    <row r="797" spans="1:9" x14ac:dyDescent="0.3">
      <c r="A797" t="s">
        <v>1846</v>
      </c>
      <c r="B797" t="s">
        <v>1849</v>
      </c>
      <c r="C797">
        <v>19</v>
      </c>
      <c r="D797" t="s">
        <v>1447</v>
      </c>
      <c r="E797" t="s">
        <v>1853</v>
      </c>
      <c r="F797" t="s">
        <v>1806</v>
      </c>
      <c r="I797" t="str">
        <f>IF(ISBLANK('Q 5'!H87),"",IF('Q 5'!H87="&lt;please select&gt;","",'Q 5'!H87))</f>
        <v>437720.752070059</v>
      </c>
    </row>
    <row r="798" spans="1:9" x14ac:dyDescent="0.3">
      <c r="A798" t="s">
        <v>1846</v>
      </c>
      <c r="B798" t="s">
        <v>1849</v>
      </c>
      <c r="C798">
        <v>20</v>
      </c>
      <c r="D798" t="s">
        <v>1447</v>
      </c>
      <c r="E798" t="s">
        <v>1853</v>
      </c>
      <c r="F798" t="s">
        <v>1806</v>
      </c>
      <c r="I798" t="str">
        <f>IF(ISBLANK('Q 5'!H88),"",IF('Q 5'!H88="&lt;please select&gt;","",'Q 5'!H88))</f>
        <v>168887.143145066</v>
      </c>
    </row>
    <row r="799" spans="1:9" x14ac:dyDescent="0.3">
      <c r="A799" t="s">
        <v>1846</v>
      </c>
      <c r="B799" t="s">
        <v>1849</v>
      </c>
      <c r="C799">
        <v>21</v>
      </c>
      <c r="D799" t="s">
        <v>1447</v>
      </c>
      <c r="E799" t="s">
        <v>1853</v>
      </c>
      <c r="F799" t="s">
        <v>1806</v>
      </c>
      <c r="I799" t="str">
        <f>IF(ISBLANK('Q 5'!H89),"",IF('Q 5'!H89="&lt;please select&gt;","",'Q 5'!H89))</f>
        <v>132409.631351039</v>
      </c>
    </row>
    <row r="800" spans="1:9" x14ac:dyDescent="0.3">
      <c r="A800" t="s">
        <v>1846</v>
      </c>
      <c r="B800" t="s">
        <v>1849</v>
      </c>
      <c r="C800">
        <v>22</v>
      </c>
      <c r="D800" t="s">
        <v>1447</v>
      </c>
      <c r="E800" t="s">
        <v>1853</v>
      </c>
      <c r="F800" t="s">
        <v>1806</v>
      </c>
      <c r="I800" t="str">
        <f>IF(ISBLANK('Q 5'!H90),"",IF('Q 5'!H90="&lt;please select&gt;","",'Q 5'!H90))</f>
        <v>20783.852083074</v>
      </c>
    </row>
    <row r="801" spans="1:9" x14ac:dyDescent="0.3">
      <c r="A801" t="s">
        <v>1846</v>
      </c>
      <c r="B801" t="s">
        <v>1849</v>
      </c>
      <c r="C801">
        <v>23</v>
      </c>
      <c r="D801" t="s">
        <v>1447</v>
      </c>
      <c r="E801" t="s">
        <v>1853</v>
      </c>
      <c r="F801" t="s">
        <v>1806</v>
      </c>
      <c r="I801" t="str">
        <f>IF(ISBLANK('Q 5'!H91),"",IF('Q 5'!H91="&lt;please select&gt;","",'Q 5'!H91))</f>
        <v>38779.427671526</v>
      </c>
    </row>
    <row r="802" spans="1:9" x14ac:dyDescent="0.3">
      <c r="A802" t="s">
        <v>1846</v>
      </c>
      <c r="B802" t="s">
        <v>1849</v>
      </c>
      <c r="C802">
        <v>24</v>
      </c>
      <c r="D802" t="s">
        <v>1447</v>
      </c>
      <c r="E802" t="s">
        <v>1853</v>
      </c>
      <c r="F802" t="s">
        <v>1806</v>
      </c>
      <c r="I802" t="str">
        <f>IF(ISBLANK('Q 5'!H92),"",IF('Q 5'!H92="&lt;please select&gt;","",'Q 5'!H92))</f>
        <v>857550.118411592</v>
      </c>
    </row>
    <row r="803" spans="1:9" x14ac:dyDescent="0.3">
      <c r="A803" t="s">
        <v>1846</v>
      </c>
      <c r="B803" t="s">
        <v>1849</v>
      </c>
      <c r="C803">
        <v>25</v>
      </c>
      <c r="D803" t="s">
        <v>1447</v>
      </c>
      <c r="E803" t="s">
        <v>1853</v>
      </c>
      <c r="F803" t="s">
        <v>1806</v>
      </c>
      <c r="I803" t="str">
        <f>IF(ISBLANK('Q 5'!H93),"",IF('Q 5'!H93="&lt;please select&gt;","",'Q 5'!H93))</f>
        <v>287143.960461954</v>
      </c>
    </row>
    <row r="804" spans="1:9" x14ac:dyDescent="0.3">
      <c r="A804" t="s">
        <v>1846</v>
      </c>
      <c r="B804" t="s">
        <v>1849</v>
      </c>
      <c r="C804">
        <v>26</v>
      </c>
      <c r="D804" t="s">
        <v>1447</v>
      </c>
      <c r="E804" t="s">
        <v>1853</v>
      </c>
      <c r="F804" t="s">
        <v>1806</v>
      </c>
      <c r="I804" t="str">
        <f>IF(ISBLANK('Q 5'!H94),"",IF('Q 5'!H94="&lt;please select&gt;","",'Q 5'!H94))</f>
        <v>312491.488143313</v>
      </c>
    </row>
    <row r="805" spans="1:9" x14ac:dyDescent="0.3">
      <c r="A805" t="s">
        <v>1846</v>
      </c>
      <c r="B805" t="s">
        <v>1849</v>
      </c>
      <c r="C805">
        <v>27</v>
      </c>
      <c r="D805" t="s">
        <v>1447</v>
      </c>
      <c r="E805" t="s">
        <v>1853</v>
      </c>
      <c r="F805" t="s">
        <v>1806</v>
      </c>
      <c r="I805" t="str">
        <f>IF(ISBLANK('Q 5'!H95),"",IF('Q 5'!H95="&lt;please select&gt;","",'Q 5'!H95))</f>
        <v>346152.556478081</v>
      </c>
    </row>
    <row r="806" spans="1:9" x14ac:dyDescent="0.3">
      <c r="A806" t="s">
        <v>1846</v>
      </c>
      <c r="B806" t="s">
        <v>1849</v>
      </c>
      <c r="C806">
        <v>28</v>
      </c>
      <c r="D806" t="s">
        <v>1447</v>
      </c>
      <c r="E806" t="s">
        <v>1853</v>
      </c>
      <c r="F806" t="s">
        <v>1806</v>
      </c>
      <c r="I806" t="str">
        <f>IF(ISBLANK('Q 5'!H96),"",IF('Q 5'!H96="&lt;please select&gt;","",'Q 5'!H96))</f>
        <v>166107.163897149</v>
      </c>
    </row>
    <row r="807" spans="1:9" x14ac:dyDescent="0.3">
      <c r="A807" t="s">
        <v>1846</v>
      </c>
      <c r="B807" t="s">
        <v>1849</v>
      </c>
      <c r="C807">
        <v>29</v>
      </c>
      <c r="D807" t="s">
        <v>1447</v>
      </c>
      <c r="E807" t="s">
        <v>1853</v>
      </c>
      <c r="F807" t="s">
        <v>1806</v>
      </c>
      <c r="I807" t="str">
        <f>IF(ISBLANK('Q 5'!H97),"",IF('Q 5'!H97="&lt;please select&gt;","",'Q 5'!H97))</f>
        <v>22456.7842598325</v>
      </c>
    </row>
    <row r="808" spans="1:9" x14ac:dyDescent="0.3">
      <c r="A808" t="s">
        <v>1846</v>
      </c>
      <c r="B808" t="s">
        <v>1849</v>
      </c>
      <c r="C808">
        <v>30</v>
      </c>
      <c r="D808" t="s">
        <v>1447</v>
      </c>
      <c r="E808" t="s">
        <v>1853</v>
      </c>
      <c r="F808" t="s">
        <v>1806</v>
      </c>
      <c r="I808" t="str">
        <f>IF(ISBLANK('Q 5'!H98),"",IF('Q 5'!H98="&lt;please select&gt;","",'Q 5'!H98))</f>
        <v>5836.098603285</v>
      </c>
    </row>
    <row r="809" spans="1:9" x14ac:dyDescent="0.3">
      <c r="A809" t="s">
        <v>1846</v>
      </c>
      <c r="B809" t="s">
        <v>1849</v>
      </c>
      <c r="C809">
        <v>31</v>
      </c>
      <c r="D809" t="s">
        <v>1447</v>
      </c>
      <c r="E809" t="s">
        <v>1853</v>
      </c>
      <c r="F809" t="s">
        <v>1806</v>
      </c>
      <c r="I809" t="str">
        <f>IF(ISBLANK('Q 5'!H99),"",IF('Q 5'!H99="&lt;please select&gt;","",'Q 5'!H99))</f>
        <v>0</v>
      </c>
    </row>
    <row r="810" spans="1:9" x14ac:dyDescent="0.3">
      <c r="A810" t="s">
        <v>1846</v>
      </c>
      <c r="B810" t="s">
        <v>1849</v>
      </c>
      <c r="C810">
        <v>32</v>
      </c>
      <c r="D810" t="s">
        <v>1447</v>
      </c>
      <c r="E810" t="s">
        <v>1853</v>
      </c>
      <c r="F810" t="s">
        <v>1806</v>
      </c>
      <c r="I810" t="str">
        <f>IF(ISBLANK('Q 5'!H100),"",IF('Q 5'!H100="&lt;please select&gt;","",'Q 5'!H100))</f>
        <v>39630.309604324</v>
      </c>
    </row>
    <row r="811" spans="1:9" x14ac:dyDescent="0.3">
      <c r="A811" t="s">
        <v>1846</v>
      </c>
      <c r="B811" t="s">
        <v>1849</v>
      </c>
      <c r="C811">
        <v>33</v>
      </c>
      <c r="D811" t="s">
        <v>1447</v>
      </c>
      <c r="E811" t="s">
        <v>1853</v>
      </c>
      <c r="F811" t="s">
        <v>1806</v>
      </c>
      <c r="I811" t="str">
        <f>IF(ISBLANK('Q 5'!H101),"",IF('Q 5'!H101="&lt;please select&gt;","",'Q 5'!H101))</f>
        <v>25315.2973105795</v>
      </c>
    </row>
    <row r="812" spans="1:9" x14ac:dyDescent="0.3">
      <c r="A812" t="s">
        <v>1846</v>
      </c>
      <c r="B812" t="s">
        <v>1849</v>
      </c>
      <c r="C812">
        <v>34</v>
      </c>
      <c r="D812" t="s">
        <v>1447</v>
      </c>
      <c r="E812" t="s">
        <v>1853</v>
      </c>
      <c r="F812" t="s">
        <v>1806</v>
      </c>
      <c r="I812" t="str">
        <f>IF(ISBLANK('Q 5'!H102),"",IF('Q 5'!H102="&lt;please select&gt;","",'Q 5'!H102))</f>
        <v>26869.8747752135</v>
      </c>
    </row>
    <row r="813" spans="1:9" x14ac:dyDescent="0.3">
      <c r="A813" t="s">
        <v>1846</v>
      </c>
      <c r="B813" t="s">
        <v>1849</v>
      </c>
      <c r="C813">
        <v>35</v>
      </c>
      <c r="D813" t="s">
        <v>1447</v>
      </c>
      <c r="E813" t="s">
        <v>1853</v>
      </c>
      <c r="F813" t="s">
        <v>1806</v>
      </c>
      <c r="I813" t="str">
        <f>IF(ISBLANK('Q 5'!H103),"",IF('Q 5'!H103="&lt;please select&gt;","",'Q 5'!H103))</f>
        <v>223954.217516931</v>
      </c>
    </row>
    <row r="814" spans="1:9" x14ac:dyDescent="0.3">
      <c r="A814" t="s">
        <v>1846</v>
      </c>
      <c r="B814" t="s">
        <v>1849</v>
      </c>
      <c r="C814">
        <v>36</v>
      </c>
      <c r="D814" t="s">
        <v>1447</v>
      </c>
      <c r="E814" t="s">
        <v>1853</v>
      </c>
      <c r="F814" t="s">
        <v>1806</v>
      </c>
      <c r="I814" t="str">
        <f>IF(ISBLANK('Q 5'!H104),"",IF('Q 5'!H104="&lt;please select&gt;","",'Q 5'!H104))</f>
        <v>45328.6475512208</v>
      </c>
    </row>
    <row r="815" spans="1:9" x14ac:dyDescent="0.3">
      <c r="A815" t="s">
        <v>1846</v>
      </c>
      <c r="B815" t="s">
        <v>1849</v>
      </c>
      <c r="C815">
        <v>37</v>
      </c>
      <c r="D815" t="s">
        <v>1447</v>
      </c>
      <c r="E815" t="s">
        <v>1853</v>
      </c>
      <c r="F815" t="s">
        <v>1806</v>
      </c>
      <c r="I815" t="str">
        <f>IF(ISBLANK('Q 5'!H105),"",IF('Q 5'!H105="&lt;please select&gt;","",'Q 5'!H105))</f>
        <v>28684.6390778575</v>
      </c>
    </row>
    <row r="816" spans="1:9" x14ac:dyDescent="0.3">
      <c r="A816" t="s">
        <v>1846</v>
      </c>
      <c r="B816" t="s">
        <v>1849</v>
      </c>
      <c r="C816">
        <v>38</v>
      </c>
      <c r="D816" t="s">
        <v>1447</v>
      </c>
      <c r="E816" t="s">
        <v>1853</v>
      </c>
      <c r="F816" t="s">
        <v>1806</v>
      </c>
      <c r="I816" t="str">
        <f>IF(ISBLANK('Q 5'!H106),"",IF('Q 5'!H106="&lt;please select&gt;","",'Q 5'!H106))</f>
        <v>39744.5519424969</v>
      </c>
    </row>
    <row r="817" spans="1:9" x14ac:dyDescent="0.3">
      <c r="A817" t="s">
        <v>1846</v>
      </c>
      <c r="B817" t="s">
        <v>1849</v>
      </c>
      <c r="C817">
        <v>39</v>
      </c>
      <c r="D817" t="s">
        <v>1447</v>
      </c>
      <c r="E817" t="s">
        <v>1853</v>
      </c>
      <c r="F817" t="s">
        <v>1806</v>
      </c>
      <c r="I817" t="str">
        <f>IF(ISBLANK('Q 5'!H107),"",IF('Q 5'!H107="&lt;please select&gt;","",'Q 5'!H107))</f>
        <v>24011.290816183</v>
      </c>
    </row>
    <row r="818" spans="1:9" x14ac:dyDescent="0.3">
      <c r="A818" t="s">
        <v>1846</v>
      </c>
      <c r="B818" t="s">
        <v>1849</v>
      </c>
      <c r="C818">
        <v>40</v>
      </c>
      <c r="D818" t="s">
        <v>1447</v>
      </c>
      <c r="E818" t="s">
        <v>1853</v>
      </c>
      <c r="F818" t="s">
        <v>1806</v>
      </c>
      <c r="I818" t="str">
        <f>IF(ISBLANK('Q 5'!H108),"",IF('Q 5'!H108="&lt;please select&gt;","",'Q 5'!H108))</f>
        <v>0</v>
      </c>
    </row>
    <row r="819" spans="1:9" x14ac:dyDescent="0.3">
      <c r="A819" t="s">
        <v>1846</v>
      </c>
      <c r="B819" t="s">
        <v>1849</v>
      </c>
      <c r="C819">
        <v>41</v>
      </c>
      <c r="D819" t="s">
        <v>1447</v>
      </c>
      <c r="E819" t="s">
        <v>1853</v>
      </c>
      <c r="F819" t="s">
        <v>1806</v>
      </c>
      <c r="I819" t="str">
        <f>IF(ISBLANK('Q 5'!H109),"",IF('Q 5'!H109="&lt;please select&gt;","",'Q 5'!H109))</f>
        <v>2018352.94544196</v>
      </c>
    </row>
    <row r="820" spans="1:9" x14ac:dyDescent="0.3">
      <c r="A820" t="s">
        <v>1846</v>
      </c>
      <c r="B820" t="s">
        <v>1849</v>
      </c>
      <c r="C820">
        <v>42</v>
      </c>
      <c r="D820" t="s">
        <v>1447</v>
      </c>
      <c r="E820" t="s">
        <v>1853</v>
      </c>
      <c r="F820" t="s">
        <v>1806</v>
      </c>
      <c r="I820" t="str">
        <f>IF(ISBLANK('Q 5'!H110),"",IF('Q 5'!H110="&lt;please select&gt;","",'Q 5'!H110))</f>
        <v>0</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390838.687310051</v>
      </c>
    </row>
    <row r="910" spans="1:9" x14ac:dyDescent="0.3">
      <c r="A910" t="s">
        <v>1846</v>
      </c>
      <c r="B910" t="s">
        <v>1849</v>
      </c>
      <c r="C910">
        <v>2</v>
      </c>
      <c r="D910" t="s">
        <v>1447</v>
      </c>
      <c r="E910" t="s">
        <v>1854</v>
      </c>
      <c r="F910" t="s">
        <v>1806</v>
      </c>
      <c r="I910" t="str">
        <f>IF(ISBLANK('Q 5'!I70),"",IF('Q 5'!I70="&lt;please select&gt;","",'Q 5'!I70))</f>
        <v>79570.5869611838</v>
      </c>
    </row>
    <row r="911" spans="1:9" x14ac:dyDescent="0.3">
      <c r="A911" t="s">
        <v>1846</v>
      </c>
      <c r="B911" t="s">
        <v>1849</v>
      </c>
      <c r="C911">
        <v>3</v>
      </c>
      <c r="D911" t="s">
        <v>1447</v>
      </c>
      <c r="E911" t="s">
        <v>1854</v>
      </c>
      <c r="F911" t="s">
        <v>1806</v>
      </c>
      <c r="I911" t="str">
        <f>IF(ISBLANK('Q 5'!I71),"",IF('Q 5'!I71="&lt;please select&gt;","",'Q 5'!I71))</f>
        <v>79745.9683518142</v>
      </c>
    </row>
    <row r="912" spans="1:9" x14ac:dyDescent="0.3">
      <c r="A912" t="s">
        <v>1846</v>
      </c>
      <c r="B912" t="s">
        <v>1849</v>
      </c>
      <c r="C912">
        <v>4</v>
      </c>
      <c r="D912" t="s">
        <v>1447</v>
      </c>
      <c r="E912" t="s">
        <v>1854</v>
      </c>
      <c r="F912" t="s">
        <v>1806</v>
      </c>
      <c r="I912" t="str">
        <f>IF(ISBLANK('Q 5'!I72),"",IF('Q 5'!I72="&lt;please select&gt;","",'Q 5'!I72))</f>
        <v>4037.3060385</v>
      </c>
    </row>
    <row r="913" spans="1:9" x14ac:dyDescent="0.3">
      <c r="A913" t="s">
        <v>1846</v>
      </c>
      <c r="B913" t="s">
        <v>1849</v>
      </c>
      <c r="C913">
        <v>5</v>
      </c>
      <c r="D913" t="s">
        <v>1447</v>
      </c>
      <c r="E913" t="s">
        <v>1854</v>
      </c>
      <c r="F913" t="s">
        <v>1806</v>
      </c>
      <c r="I913" t="str">
        <f>IF(ISBLANK('Q 5'!I73),"",IF('Q 5'!I73="&lt;please select&gt;","",'Q 5'!I73))</f>
        <v>0</v>
      </c>
    </row>
    <row r="914" spans="1:9" x14ac:dyDescent="0.3">
      <c r="A914" t="s">
        <v>1846</v>
      </c>
      <c r="B914" t="s">
        <v>1849</v>
      </c>
      <c r="C914">
        <v>6</v>
      </c>
      <c r="D914" t="s">
        <v>1447</v>
      </c>
      <c r="E914" t="s">
        <v>1854</v>
      </c>
      <c r="F914" t="s">
        <v>1806</v>
      </c>
      <c r="I914" t="str">
        <f>IF(ISBLANK('Q 5'!I74),"",IF('Q 5'!I74="&lt;please select&gt;","",'Q 5'!I74))</f>
        <v>0</v>
      </c>
    </row>
    <row r="915" spans="1:9" x14ac:dyDescent="0.3">
      <c r="A915" t="s">
        <v>1846</v>
      </c>
      <c r="B915" t="s">
        <v>1849</v>
      </c>
      <c r="C915">
        <v>7</v>
      </c>
      <c r="D915" t="s">
        <v>1447</v>
      </c>
      <c r="E915" t="s">
        <v>1854</v>
      </c>
      <c r="F915" t="s">
        <v>1806</v>
      </c>
      <c r="I915" t="str">
        <f>IF(ISBLANK('Q 5'!I75),"",IF('Q 5'!I75="&lt;please select&gt;","",'Q 5'!I75))</f>
        <v>0</v>
      </c>
    </row>
    <row r="916" spans="1:9" x14ac:dyDescent="0.3">
      <c r="A916" t="s">
        <v>1846</v>
      </c>
      <c r="B916" t="s">
        <v>1849</v>
      </c>
      <c r="C916">
        <v>8</v>
      </c>
      <c r="D916" t="s">
        <v>1447</v>
      </c>
      <c r="E916" t="s">
        <v>1854</v>
      </c>
      <c r="F916" t="s">
        <v>1806</v>
      </c>
      <c r="I916" t="str">
        <f>IF(ISBLANK('Q 5'!I76),"",IF('Q 5'!I76="&lt;please select&gt;","",'Q 5'!I76))</f>
        <v>2194.64954842558</v>
      </c>
    </row>
    <row r="917" spans="1:9" x14ac:dyDescent="0.3">
      <c r="A917" t="s">
        <v>1846</v>
      </c>
      <c r="B917" t="s">
        <v>1849</v>
      </c>
      <c r="C917">
        <v>9</v>
      </c>
      <c r="D917" t="s">
        <v>1447</v>
      </c>
      <c r="E917" t="s">
        <v>1854</v>
      </c>
      <c r="F917" t="s">
        <v>1806</v>
      </c>
      <c r="I917" t="str">
        <f>IF(ISBLANK('Q 5'!I77),"",IF('Q 5'!I77="&lt;please select&gt;","",'Q 5'!I77))</f>
        <v>0</v>
      </c>
    </row>
    <row r="918" spans="1:9" x14ac:dyDescent="0.3">
      <c r="A918" t="s">
        <v>1846</v>
      </c>
      <c r="B918" t="s">
        <v>1849</v>
      </c>
      <c r="C918">
        <v>10</v>
      </c>
      <c r="D918" t="s">
        <v>1447</v>
      </c>
      <c r="E918" t="s">
        <v>1854</v>
      </c>
      <c r="F918" t="s">
        <v>1806</v>
      </c>
      <c r="I918" t="str">
        <f>IF(ISBLANK('Q 5'!I78),"",IF('Q 5'!I78="&lt;please select&gt;","",'Q 5'!I78))</f>
        <v>541310.819188559</v>
      </c>
    </row>
    <row r="919" spans="1:9" x14ac:dyDescent="0.3">
      <c r="A919" t="s">
        <v>1846</v>
      </c>
      <c r="B919" t="s">
        <v>1849</v>
      </c>
      <c r="C919">
        <v>11</v>
      </c>
      <c r="D919" t="s">
        <v>1447</v>
      </c>
      <c r="E919" t="s">
        <v>1854</v>
      </c>
      <c r="F919" t="s">
        <v>1806</v>
      </c>
      <c r="I919" t="str">
        <f>IF(ISBLANK('Q 5'!I79),"",IF('Q 5'!I79="&lt;please select&gt;","",'Q 5'!I79))</f>
        <v>0</v>
      </c>
    </row>
    <row r="920" spans="1:9" x14ac:dyDescent="0.3">
      <c r="A920" t="s">
        <v>1846</v>
      </c>
      <c r="B920" t="s">
        <v>1849</v>
      </c>
      <c r="C920">
        <v>12</v>
      </c>
      <c r="D920" t="s">
        <v>1447</v>
      </c>
      <c r="E920" t="s">
        <v>1854</v>
      </c>
      <c r="F920" t="s">
        <v>1806</v>
      </c>
      <c r="I920" t="str">
        <f>IF(ISBLANK('Q 5'!I80),"",IF('Q 5'!I80="&lt;please select&gt;","",'Q 5'!I80))</f>
        <v>0</v>
      </c>
    </row>
    <row r="921" spans="1:9" x14ac:dyDescent="0.3">
      <c r="A921" t="s">
        <v>1846</v>
      </c>
      <c r="B921" t="s">
        <v>1849</v>
      </c>
      <c r="C921">
        <v>13</v>
      </c>
      <c r="D921" t="s">
        <v>1447</v>
      </c>
      <c r="E921" t="s">
        <v>1854</v>
      </c>
      <c r="F921" t="s">
        <v>1806</v>
      </c>
      <c r="I921" t="str">
        <f>IF(ISBLANK('Q 5'!I81),"",IF('Q 5'!I81="&lt;please select&gt;","",'Q 5'!I81))</f>
        <v>0</v>
      </c>
    </row>
    <row r="922" spans="1:9" x14ac:dyDescent="0.3">
      <c r="A922" t="s">
        <v>1846</v>
      </c>
      <c r="B922" t="s">
        <v>1849</v>
      </c>
      <c r="C922">
        <v>14</v>
      </c>
      <c r="D922" t="s">
        <v>1447</v>
      </c>
      <c r="E922" t="s">
        <v>1854</v>
      </c>
      <c r="F922" t="s">
        <v>1806</v>
      </c>
      <c r="I922" t="str">
        <f>IF(ISBLANK('Q 5'!I82),"",IF('Q 5'!I82="&lt;please select&gt;","",'Q 5'!I82))</f>
        <v>827079.129582198</v>
      </c>
    </row>
    <row r="923" spans="1:9" x14ac:dyDescent="0.3">
      <c r="A923" t="s">
        <v>1846</v>
      </c>
      <c r="B923" t="s">
        <v>1849</v>
      </c>
      <c r="C923">
        <v>15</v>
      </c>
      <c r="D923" t="s">
        <v>1447</v>
      </c>
      <c r="E923" t="s">
        <v>1854</v>
      </c>
      <c r="F923" t="s">
        <v>1806</v>
      </c>
      <c r="I923" t="str">
        <f>IF(ISBLANK('Q 5'!I83),"",IF('Q 5'!I83="&lt;please select&gt;","",'Q 5'!I83))</f>
        <v>148619.619135991</v>
      </c>
    </row>
    <row r="924" spans="1:9" x14ac:dyDescent="0.3">
      <c r="A924" t="s">
        <v>1846</v>
      </c>
      <c r="B924" t="s">
        <v>1849</v>
      </c>
      <c r="C924">
        <v>16</v>
      </c>
      <c r="D924" t="s">
        <v>1447</v>
      </c>
      <c r="E924" t="s">
        <v>1854</v>
      </c>
      <c r="F924" t="s">
        <v>1806</v>
      </c>
      <c r="I924" t="str">
        <f>IF(ISBLANK('Q 5'!I84),"",IF('Q 5'!I84="&lt;please select&gt;","",'Q 5'!I84))</f>
        <v>53096.791124204</v>
      </c>
    </row>
    <row r="925" spans="1:9" x14ac:dyDescent="0.3">
      <c r="A925" t="s">
        <v>1846</v>
      </c>
      <c r="B925" t="s">
        <v>1849</v>
      </c>
      <c r="C925">
        <v>17</v>
      </c>
      <c r="D925" t="s">
        <v>1447</v>
      </c>
      <c r="E925" t="s">
        <v>1854</v>
      </c>
      <c r="F925" t="s">
        <v>1806</v>
      </c>
      <c r="I925" t="str">
        <f>IF(ISBLANK('Q 5'!I85),"",IF('Q 5'!I85="&lt;please select&gt;","",'Q 5'!I85))</f>
        <v>126.530959667089</v>
      </c>
    </row>
    <row r="926" spans="1:9" x14ac:dyDescent="0.3">
      <c r="A926" t="s">
        <v>1846</v>
      </c>
      <c r="B926" t="s">
        <v>1849</v>
      </c>
      <c r="C926">
        <v>18</v>
      </c>
      <c r="D926" t="s">
        <v>1447</v>
      </c>
      <c r="E926" t="s">
        <v>1854</v>
      </c>
      <c r="F926" t="s">
        <v>1806</v>
      </c>
      <c r="I926" t="str">
        <f>IF(ISBLANK('Q 5'!I86),"",IF('Q 5'!I86="&lt;please select&gt;","",'Q 5'!I86))</f>
        <v>0</v>
      </c>
    </row>
    <row r="927" spans="1:9" x14ac:dyDescent="0.3">
      <c r="A927" t="s">
        <v>1846</v>
      </c>
      <c r="B927" t="s">
        <v>1849</v>
      </c>
      <c r="C927">
        <v>19</v>
      </c>
      <c r="D927" t="s">
        <v>1447</v>
      </c>
      <c r="E927" t="s">
        <v>1854</v>
      </c>
      <c r="F927" t="s">
        <v>1806</v>
      </c>
      <c r="I927" t="str">
        <f>IF(ISBLANK('Q 5'!I87),"",IF('Q 5'!I87="&lt;please select&gt;","",'Q 5'!I87))</f>
        <v>-640.687337135385</v>
      </c>
    </row>
    <row r="928" spans="1:9" x14ac:dyDescent="0.3">
      <c r="A928" t="s">
        <v>1846</v>
      </c>
      <c r="B928" t="s">
        <v>1849</v>
      </c>
      <c r="C928">
        <v>20</v>
      </c>
      <c r="D928" t="s">
        <v>1447</v>
      </c>
      <c r="E928" t="s">
        <v>1854</v>
      </c>
      <c r="F928" t="s">
        <v>1806</v>
      </c>
      <c r="I928" t="str">
        <f>IF(ISBLANK('Q 5'!I88),"",IF('Q 5'!I88="&lt;please select&gt;","",'Q 5'!I88))</f>
        <v>0</v>
      </c>
    </row>
    <row r="929" spans="1:9" x14ac:dyDescent="0.3">
      <c r="A929" t="s">
        <v>1846</v>
      </c>
      <c r="B929" t="s">
        <v>1849</v>
      </c>
      <c r="C929">
        <v>21</v>
      </c>
      <c r="D929" t="s">
        <v>1447</v>
      </c>
      <c r="E929" t="s">
        <v>1854</v>
      </c>
      <c r="F929" t="s">
        <v>1806</v>
      </c>
      <c r="I929" t="str">
        <f>IF(ISBLANK('Q 5'!I89),"",IF('Q 5'!I89="&lt;please select&gt;","",'Q 5'!I89))</f>
        <v>0</v>
      </c>
    </row>
    <row r="930" spans="1:9" x14ac:dyDescent="0.3">
      <c r="A930" t="s">
        <v>1846</v>
      </c>
      <c r="B930" t="s">
        <v>1849</v>
      </c>
      <c r="C930">
        <v>22</v>
      </c>
      <c r="D930" t="s">
        <v>1447</v>
      </c>
      <c r="E930" t="s">
        <v>1854</v>
      </c>
      <c r="F930" t="s">
        <v>1806</v>
      </c>
      <c r="I930" t="str">
        <f>IF(ISBLANK('Q 5'!I90),"",IF('Q 5'!I90="&lt;please select&gt;","",'Q 5'!I90))</f>
        <v>0</v>
      </c>
    </row>
    <row r="931" spans="1:9" x14ac:dyDescent="0.3">
      <c r="A931" t="s">
        <v>1846</v>
      </c>
      <c r="B931" t="s">
        <v>1849</v>
      </c>
      <c r="C931">
        <v>23</v>
      </c>
      <c r="D931" t="s">
        <v>1447</v>
      </c>
      <c r="E931" t="s">
        <v>1854</v>
      </c>
      <c r="F931" t="s">
        <v>1806</v>
      </c>
      <c r="I931" t="str">
        <f>IF(ISBLANK('Q 5'!I91),"",IF('Q 5'!I91="&lt;please select&gt;","",'Q 5'!I91))</f>
        <v>1415.23703</v>
      </c>
    </row>
    <row r="932" spans="1:9" x14ac:dyDescent="0.3">
      <c r="A932" t="s">
        <v>1846</v>
      </c>
      <c r="B932" t="s">
        <v>1849</v>
      </c>
      <c r="C932">
        <v>24</v>
      </c>
      <c r="D932" t="s">
        <v>1447</v>
      </c>
      <c r="E932" t="s">
        <v>1854</v>
      </c>
      <c r="F932" t="s">
        <v>1806</v>
      </c>
      <c r="I932" t="str">
        <f>IF(ISBLANK('Q 5'!I92),"",IF('Q 5'!I92="&lt;please select&gt;","",'Q 5'!I92))</f>
        <v>1964607.66753362</v>
      </c>
    </row>
    <row r="933" spans="1:9" x14ac:dyDescent="0.3">
      <c r="A933" t="s">
        <v>1846</v>
      </c>
      <c r="B933" t="s">
        <v>1849</v>
      </c>
      <c r="C933">
        <v>25</v>
      </c>
      <c r="D933" t="s">
        <v>1447</v>
      </c>
      <c r="E933" t="s">
        <v>1854</v>
      </c>
      <c r="F933" t="s">
        <v>1806</v>
      </c>
      <c r="I933" t="str">
        <f>IF(ISBLANK('Q 5'!I93),"",IF('Q 5'!I93="&lt;please select&gt;","",'Q 5'!I93))</f>
        <v>667024.354847533</v>
      </c>
    </row>
    <row r="934" spans="1:9" x14ac:dyDescent="0.3">
      <c r="A934" t="s">
        <v>1846</v>
      </c>
      <c r="B934" t="s">
        <v>1849</v>
      </c>
      <c r="C934">
        <v>26</v>
      </c>
      <c r="D934" t="s">
        <v>1447</v>
      </c>
      <c r="E934" t="s">
        <v>1854</v>
      </c>
      <c r="F934" t="s">
        <v>1806</v>
      </c>
      <c r="I934" t="str">
        <f>IF(ISBLANK('Q 5'!I94),"",IF('Q 5'!I94="&lt;please select&gt;","",'Q 5'!I94))</f>
        <v>68009.232101229</v>
      </c>
    </row>
    <row r="935" spans="1:9" x14ac:dyDescent="0.3">
      <c r="A935" t="s">
        <v>1846</v>
      </c>
      <c r="B935" t="s">
        <v>1849</v>
      </c>
      <c r="C935">
        <v>27</v>
      </c>
      <c r="D935" t="s">
        <v>1447</v>
      </c>
      <c r="E935" t="s">
        <v>1854</v>
      </c>
      <c r="F935" t="s">
        <v>1806</v>
      </c>
      <c r="I935" t="str">
        <f>IF(ISBLANK('Q 5'!I95),"",IF('Q 5'!I95="&lt;please select&gt;","",'Q 5'!I95))</f>
        <v>79085.1452713038</v>
      </c>
    </row>
    <row r="936" spans="1:9" x14ac:dyDescent="0.3">
      <c r="A936" t="s">
        <v>1846</v>
      </c>
      <c r="B936" t="s">
        <v>1849</v>
      </c>
      <c r="C936">
        <v>28</v>
      </c>
      <c r="D936" t="s">
        <v>1447</v>
      </c>
      <c r="E936" t="s">
        <v>1854</v>
      </c>
      <c r="F936" t="s">
        <v>1806</v>
      </c>
      <c r="I936" t="str">
        <f>IF(ISBLANK('Q 5'!I96),"",IF('Q 5'!I96="&lt;please select&gt;","",'Q 5'!I96))</f>
        <v>0</v>
      </c>
    </row>
    <row r="937" spans="1:9" x14ac:dyDescent="0.3">
      <c r="A937" t="s">
        <v>1846</v>
      </c>
      <c r="B937" t="s">
        <v>1849</v>
      </c>
      <c r="C937">
        <v>29</v>
      </c>
      <c r="D937" t="s">
        <v>1447</v>
      </c>
      <c r="E937" t="s">
        <v>1854</v>
      </c>
      <c r="F937" t="s">
        <v>1806</v>
      </c>
      <c r="I937" t="str">
        <f>IF(ISBLANK('Q 5'!I97),"",IF('Q 5'!I97="&lt;please select&gt;","",'Q 5'!I97))</f>
        <v>0</v>
      </c>
    </row>
    <row r="938" spans="1:9" x14ac:dyDescent="0.3">
      <c r="A938" t="s">
        <v>1846</v>
      </c>
      <c r="B938" t="s">
        <v>1849</v>
      </c>
      <c r="C938">
        <v>30</v>
      </c>
      <c r="D938" t="s">
        <v>1447</v>
      </c>
      <c r="E938" t="s">
        <v>1854</v>
      </c>
      <c r="F938" t="s">
        <v>1806</v>
      </c>
      <c r="I938" t="str">
        <f>IF(ISBLANK('Q 5'!I98),"",IF('Q 5'!I98="&lt;please select&gt;","",'Q 5'!I98))</f>
        <v>550.188</v>
      </c>
    </row>
    <row r="939" spans="1:9" x14ac:dyDescent="0.3">
      <c r="A939" t="s">
        <v>1846</v>
      </c>
      <c r="B939" t="s">
        <v>1849</v>
      </c>
      <c r="C939">
        <v>31</v>
      </c>
      <c r="D939" t="s">
        <v>1447</v>
      </c>
      <c r="E939" t="s">
        <v>1854</v>
      </c>
      <c r="F939" t="s">
        <v>1806</v>
      </c>
      <c r="I939" t="str">
        <f>IF(ISBLANK('Q 5'!I99),"",IF('Q 5'!I99="&lt;please select&gt;","",'Q 5'!I99))</f>
        <v>0</v>
      </c>
    </row>
    <row r="940" spans="1:9" x14ac:dyDescent="0.3">
      <c r="A940" t="s">
        <v>1846</v>
      </c>
      <c r="B940" t="s">
        <v>1849</v>
      </c>
      <c r="C940">
        <v>32</v>
      </c>
      <c r="D940" t="s">
        <v>1447</v>
      </c>
      <c r="E940" t="s">
        <v>1854</v>
      </c>
      <c r="F940" t="s">
        <v>1806</v>
      </c>
      <c r="I940" t="str">
        <f>IF(ISBLANK('Q 5'!I100),"",IF('Q 5'!I100="&lt;please select&gt;","",'Q 5'!I100))</f>
        <v>0</v>
      </c>
    </row>
    <row r="941" spans="1:9" x14ac:dyDescent="0.3">
      <c r="A941" t="s">
        <v>1846</v>
      </c>
      <c r="B941" t="s">
        <v>1849</v>
      </c>
      <c r="C941">
        <v>33</v>
      </c>
      <c r="D941" t="s">
        <v>1447</v>
      </c>
      <c r="E941" t="s">
        <v>1854</v>
      </c>
      <c r="F941" t="s">
        <v>1806</v>
      </c>
      <c r="I941" t="str">
        <f>IF(ISBLANK('Q 5'!I101),"",IF('Q 5'!I101="&lt;please select&gt;","",'Q 5'!I101))</f>
        <v>0</v>
      </c>
    </row>
    <row r="942" spans="1:9" x14ac:dyDescent="0.3">
      <c r="A942" t="s">
        <v>1846</v>
      </c>
      <c r="B942" t="s">
        <v>1849</v>
      </c>
      <c r="C942">
        <v>34</v>
      </c>
      <c r="D942" t="s">
        <v>1447</v>
      </c>
      <c r="E942" t="s">
        <v>1854</v>
      </c>
      <c r="F942" t="s">
        <v>1806</v>
      </c>
      <c r="I942" t="str">
        <f>IF(ISBLANK('Q 5'!I102),"",IF('Q 5'!I102="&lt;please select&gt;","",'Q 5'!I102))</f>
        <v>0</v>
      </c>
    </row>
    <row r="943" spans="1:9" x14ac:dyDescent="0.3">
      <c r="A943" t="s">
        <v>1846</v>
      </c>
      <c r="B943" t="s">
        <v>1849</v>
      </c>
      <c r="C943">
        <v>35</v>
      </c>
      <c r="D943" t="s">
        <v>1447</v>
      </c>
      <c r="E943" t="s">
        <v>1854</v>
      </c>
      <c r="F943" t="s">
        <v>1806</v>
      </c>
      <c r="I943" t="str">
        <f>IF(ISBLANK('Q 5'!I103),"",IF('Q 5'!I103="&lt;please select&gt;","",'Q 5'!I103))</f>
        <v>78057.7845653448</v>
      </c>
    </row>
    <row r="944" spans="1:9" x14ac:dyDescent="0.3">
      <c r="A944" t="s">
        <v>1846</v>
      </c>
      <c r="B944" t="s">
        <v>1849</v>
      </c>
      <c r="C944">
        <v>36</v>
      </c>
      <c r="D944" t="s">
        <v>1447</v>
      </c>
      <c r="E944" t="s">
        <v>1854</v>
      </c>
      <c r="F944" t="s">
        <v>1806</v>
      </c>
      <c r="I944" t="str">
        <f>IF(ISBLANK('Q 5'!I104),"",IF('Q 5'!I104="&lt;please select&gt;","",'Q 5'!I104))</f>
        <v>318.9274652</v>
      </c>
    </row>
    <row r="945" spans="1:9" x14ac:dyDescent="0.3">
      <c r="A945" t="s">
        <v>1846</v>
      </c>
      <c r="B945" t="s">
        <v>1849</v>
      </c>
      <c r="C945">
        <v>37</v>
      </c>
      <c r="D945" t="s">
        <v>1447</v>
      </c>
      <c r="E945" t="s">
        <v>1854</v>
      </c>
      <c r="F945" t="s">
        <v>1806</v>
      </c>
      <c r="I945" t="str">
        <f>IF(ISBLANK('Q 5'!I105),"",IF('Q 5'!I105="&lt;please select&gt;","",'Q 5'!I105))</f>
        <v>13104.99298849</v>
      </c>
    </row>
    <row r="946" spans="1:9" x14ac:dyDescent="0.3">
      <c r="A946" t="s">
        <v>1846</v>
      </c>
      <c r="B946" t="s">
        <v>1849</v>
      </c>
      <c r="C946">
        <v>38</v>
      </c>
      <c r="D946" t="s">
        <v>1447</v>
      </c>
      <c r="E946" t="s">
        <v>1854</v>
      </c>
      <c r="F946" t="s">
        <v>1806</v>
      </c>
      <c r="I946" t="str">
        <f>IF(ISBLANK('Q 5'!I106),"",IF('Q 5'!I106="&lt;please select&gt;","",'Q 5'!I106))</f>
        <v>0</v>
      </c>
    </row>
    <row r="947" spans="1:9" x14ac:dyDescent="0.3">
      <c r="A947" t="s">
        <v>1846</v>
      </c>
      <c r="B947" t="s">
        <v>1849</v>
      </c>
      <c r="C947">
        <v>39</v>
      </c>
      <c r="D947" t="s">
        <v>1447</v>
      </c>
      <c r="E947" t="s">
        <v>1854</v>
      </c>
      <c r="F947" t="s">
        <v>1806</v>
      </c>
      <c r="I947" t="str">
        <f>IF(ISBLANK('Q 5'!I107),"",IF('Q 5'!I107="&lt;please select&gt;","",'Q 5'!I107))</f>
        <v>2959.38201895</v>
      </c>
    </row>
    <row r="948" spans="1:9" x14ac:dyDescent="0.3">
      <c r="A948" t="s">
        <v>1846</v>
      </c>
      <c r="B948" t="s">
        <v>1849</v>
      </c>
      <c r="C948">
        <v>40</v>
      </c>
      <c r="D948" t="s">
        <v>1447</v>
      </c>
      <c r="E948" t="s">
        <v>1854</v>
      </c>
      <c r="F948" t="s">
        <v>1806</v>
      </c>
      <c r="I948" t="str">
        <f>IF(ISBLANK('Q 5'!I108),"",IF('Q 5'!I108="&lt;please select&gt;","",'Q 5'!I108))</f>
        <v>0</v>
      </c>
    </row>
    <row r="949" spans="1:9" x14ac:dyDescent="0.3">
      <c r="A949" t="s">
        <v>1846</v>
      </c>
      <c r="B949" t="s">
        <v>1849</v>
      </c>
      <c r="C949">
        <v>41</v>
      </c>
      <c r="D949" t="s">
        <v>1447</v>
      </c>
      <c r="E949" t="s">
        <v>1854</v>
      </c>
      <c r="F949" t="s">
        <v>1806</v>
      </c>
      <c r="I949" t="str">
        <f>IF(ISBLANK('Q 5'!I109),"",IF('Q 5'!I109="&lt;please select&gt;","",'Q 5'!I109))</f>
        <v>514305.316494091</v>
      </c>
    </row>
    <row r="950" spans="1:9" x14ac:dyDescent="0.3">
      <c r="A950" t="s">
        <v>1846</v>
      </c>
      <c r="B950" t="s">
        <v>1849</v>
      </c>
      <c r="C950">
        <v>42</v>
      </c>
      <c r="D950" t="s">
        <v>1447</v>
      </c>
      <c r="E950" t="s">
        <v>1854</v>
      </c>
      <c r="F950" t="s">
        <v>1806</v>
      </c>
      <c r="I950" t="str">
        <f>IF(ISBLANK('Q 5'!I110),"",IF('Q 5'!I110="&lt;please select&gt;","",'Q 5'!I110))</f>
        <v>5634.429584</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Category A installation</v>
      </c>
    </row>
    <row r="1040" spans="1:11" x14ac:dyDescent="0.3">
      <c r="A1040" t="s">
        <v>1847</v>
      </c>
      <c r="B1040" t="s">
        <v>1855</v>
      </c>
      <c r="C1040">
        <v>2</v>
      </c>
      <c r="D1040" t="s">
        <v>1447</v>
      </c>
      <c r="E1040" t="s">
        <v>1856</v>
      </c>
      <c r="F1040" t="s">
        <v>1737</v>
      </c>
      <c r="K1040" t="str">
        <f>IF(ISBLANK('Q 5'!C204),"",IF('Q 5'!C204="&lt;please select&gt;","",'Q 5'!C204))</f>
        <v>Installation with low emissions</v>
      </c>
    </row>
    <row r="1041" spans="1:11" x14ac:dyDescent="0.3">
      <c r="A1041" t="s">
        <v>1847</v>
      </c>
      <c r="B1041" t="s">
        <v>1855</v>
      </c>
      <c r="C1041">
        <v>3</v>
      </c>
      <c r="D1041" t="s">
        <v>1447</v>
      </c>
      <c r="E1041" t="s">
        <v>1856</v>
      </c>
      <c r="F1041" t="s">
        <v>1737</v>
      </c>
      <c r="K1041" t="str">
        <f>IF(ISBLANK('Q 5'!C205),"",IF('Q 5'!C205="&lt;please select&gt;","",'Q 5'!C205))</f>
        <v>Category B installation</v>
      </c>
    </row>
    <row r="1042" spans="1:11" x14ac:dyDescent="0.3">
      <c r="A1042" t="s">
        <v>1847</v>
      </c>
      <c r="B1042" t="s">
        <v>1855</v>
      </c>
      <c r="C1042">
        <v>4</v>
      </c>
      <c r="D1042" t="s">
        <v>1447</v>
      </c>
      <c r="E1042" t="s">
        <v>1856</v>
      </c>
      <c r="F1042" t="s">
        <v>1737</v>
      </c>
      <c r="K1042" t="str">
        <f>IF(ISBLANK('Q 5'!C206),"",IF('Q 5'!C206="&lt;please select&gt;","",'Q 5'!C206))</f>
        <v>Category C installation</v>
      </c>
    </row>
    <row r="1043" spans="1:11" x14ac:dyDescent="0.3">
      <c r="A1043" t="s">
        <v>1847</v>
      </c>
      <c r="B1043" t="s">
        <v>1855</v>
      </c>
      <c r="C1043">
        <v>5</v>
      </c>
      <c r="D1043" t="s">
        <v>1447</v>
      </c>
      <c r="E1043" t="s">
        <v>1856</v>
      </c>
      <c r="F1043" t="s">
        <v>1737</v>
      </c>
      <c r="K1043" t="str">
        <f>IF(ISBLANK('Q 5'!C207),"",IF('Q 5'!C207="&lt;please select&gt;","",'Q 5'!C207))</f>
        <v>Installation with low emissions</v>
      </c>
    </row>
    <row r="1044" spans="1:11" x14ac:dyDescent="0.3">
      <c r="A1044" t="s">
        <v>1847</v>
      </c>
      <c r="B1044" t="s">
        <v>1855</v>
      </c>
      <c r="C1044">
        <v>6</v>
      </c>
      <c r="D1044" t="s">
        <v>1447</v>
      </c>
      <c r="E1044" t="s">
        <v>1856</v>
      </c>
      <c r="F1044" t="s">
        <v>1737</v>
      </c>
      <c r="K1044" t="str">
        <f>IF(ISBLANK('Q 5'!C208),"",IF('Q 5'!C208="&lt;please select&gt;","",'Q 5'!C208))</f>
        <v>Category B installation</v>
      </c>
    </row>
    <row r="1045" spans="1:11" x14ac:dyDescent="0.3">
      <c r="A1045" t="s">
        <v>1847</v>
      </c>
      <c r="B1045" t="s">
        <v>1855</v>
      </c>
      <c r="C1045">
        <v>7</v>
      </c>
      <c r="D1045" t="s">
        <v>1447</v>
      </c>
      <c r="E1045" t="s">
        <v>1856</v>
      </c>
      <c r="F1045" t="s">
        <v>1737</v>
      </c>
      <c r="K1045" t="str">
        <f>IF(ISBLANK('Q 5'!C209),"",IF('Q 5'!C209="&lt;please select&gt;","",'Q 5'!C209))</f>
        <v>Installation with low emissions</v>
      </c>
    </row>
    <row r="1046" spans="1:11" x14ac:dyDescent="0.3">
      <c r="A1046" t="s">
        <v>1847</v>
      </c>
      <c r="B1046" t="s">
        <v>1855</v>
      </c>
      <c r="C1046">
        <v>8</v>
      </c>
      <c r="D1046" t="s">
        <v>1447</v>
      </c>
      <c r="E1046" t="s">
        <v>1856</v>
      </c>
      <c r="F1046" t="s">
        <v>1737</v>
      </c>
      <c r="K1046" t="str">
        <f>IF(ISBLANK('Q 5'!C210),"",IF('Q 5'!C210="&lt;please select&gt;","",'Q 5'!C210))</f>
        <v>Category C installation</v>
      </c>
    </row>
    <row r="1047" spans="1:11" x14ac:dyDescent="0.3">
      <c r="A1047" t="s">
        <v>1847</v>
      </c>
      <c r="B1047" t="s">
        <v>1855</v>
      </c>
      <c r="C1047">
        <v>9</v>
      </c>
      <c r="D1047" t="s">
        <v>1447</v>
      </c>
      <c r="E1047" t="s">
        <v>1856</v>
      </c>
      <c r="F1047" t="s">
        <v>1737</v>
      </c>
      <c r="K1047" t="str">
        <f>IF(ISBLANK('Q 5'!C211),"",IF('Q 5'!C211="&lt;please select&gt;","",'Q 5'!C211))</f>
        <v>Installation with low emissions</v>
      </c>
    </row>
    <row r="1048" spans="1:11" x14ac:dyDescent="0.3">
      <c r="A1048" t="s">
        <v>1847</v>
      </c>
      <c r="B1048" t="s">
        <v>1855</v>
      </c>
      <c r="C1048">
        <v>10</v>
      </c>
      <c r="D1048" t="s">
        <v>1447</v>
      </c>
      <c r="E1048" t="s">
        <v>1856</v>
      </c>
      <c r="F1048" t="s">
        <v>1737</v>
      </c>
      <c r="K1048" t="str">
        <f>IF(ISBLANK('Q 5'!C212),"",IF('Q 5'!C212="&lt;please select&gt;","",'Q 5'!C212))</f>
        <v>Category B installation</v>
      </c>
    </row>
    <row r="1049" spans="1:11" x14ac:dyDescent="0.3">
      <c r="A1049" t="s">
        <v>1847</v>
      </c>
      <c r="B1049" t="s">
        <v>1855</v>
      </c>
      <c r="C1049">
        <v>11</v>
      </c>
      <c r="D1049" t="s">
        <v>1447</v>
      </c>
      <c r="E1049" t="s">
        <v>1856</v>
      </c>
      <c r="F1049" t="s">
        <v>1737</v>
      </c>
      <c r="K1049" t="str">
        <f>IF(ISBLANK('Q 5'!C213),"",IF('Q 5'!C213="&lt;please select&gt;","",'Q 5'!C213))</f>
        <v>Category B installation</v>
      </c>
    </row>
    <row r="1050" spans="1:11" x14ac:dyDescent="0.3">
      <c r="A1050" t="s">
        <v>1847</v>
      </c>
      <c r="B1050" t="s">
        <v>1855</v>
      </c>
      <c r="C1050">
        <v>12</v>
      </c>
      <c r="D1050" t="s">
        <v>1447</v>
      </c>
      <c r="E1050" t="s">
        <v>1856</v>
      </c>
      <c r="F1050" t="s">
        <v>1737</v>
      </c>
      <c r="K1050" t="str">
        <f>IF(ISBLANK('Q 5'!C214),"",IF('Q 5'!C214="&lt;please select&gt;","",'Q 5'!C214))</f>
        <v>Installation with low emissions</v>
      </c>
    </row>
    <row r="1051" spans="1:11" x14ac:dyDescent="0.3">
      <c r="A1051" t="s">
        <v>1847</v>
      </c>
      <c r="B1051" t="s">
        <v>1855</v>
      </c>
      <c r="C1051">
        <v>13</v>
      </c>
      <c r="D1051" t="s">
        <v>1447</v>
      </c>
      <c r="E1051" t="s">
        <v>1856</v>
      </c>
      <c r="F1051" t="s">
        <v>1737</v>
      </c>
      <c r="K1051" t="str">
        <f>IF(ISBLANK('Q 5'!C215),"",IF('Q 5'!C215="&lt;please select&gt;","",'Q 5'!C215))</f>
        <v>Category A installation</v>
      </c>
    </row>
    <row r="1052" spans="1:11" x14ac:dyDescent="0.3">
      <c r="A1052" t="s">
        <v>1847</v>
      </c>
      <c r="B1052" t="s">
        <v>1855</v>
      </c>
      <c r="C1052">
        <v>14</v>
      </c>
      <c r="D1052" t="s">
        <v>1447</v>
      </c>
      <c r="E1052" t="s">
        <v>1856</v>
      </c>
      <c r="F1052" t="s">
        <v>1737</v>
      </c>
      <c r="K1052" t="str">
        <f>IF(ISBLANK('Q 5'!C216),"",IF('Q 5'!C216="&lt;please select&gt;","",'Q 5'!C216))</f>
        <v>Installation with low emissions</v>
      </c>
    </row>
    <row r="1053" spans="1:11" x14ac:dyDescent="0.3">
      <c r="A1053" t="s">
        <v>1847</v>
      </c>
      <c r="B1053" t="s">
        <v>1855</v>
      </c>
      <c r="C1053">
        <v>15</v>
      </c>
      <c r="D1053" t="s">
        <v>1447</v>
      </c>
      <c r="E1053" t="s">
        <v>1856</v>
      </c>
      <c r="F1053" t="s">
        <v>1737</v>
      </c>
      <c r="K1053" t="str">
        <f>IF(ISBLANK('Q 5'!C217),"",IF('Q 5'!C217="&lt;please select&gt;","",'Q 5'!C217))</f>
        <v>Category B installation</v>
      </c>
    </row>
    <row r="1054" spans="1:11" x14ac:dyDescent="0.3">
      <c r="A1054" t="s">
        <v>1847</v>
      </c>
      <c r="B1054" t="s">
        <v>1855</v>
      </c>
      <c r="C1054">
        <v>16</v>
      </c>
      <c r="D1054" t="s">
        <v>1447</v>
      </c>
      <c r="E1054" t="s">
        <v>1856</v>
      </c>
      <c r="F1054" t="s">
        <v>1737</v>
      </c>
      <c r="K1054" t="str">
        <f>IF(ISBLANK('Q 5'!C218),"",IF('Q 5'!C218="&lt;please select&gt;","",'Q 5'!C218))</f>
        <v>Category B installation</v>
      </c>
    </row>
    <row r="1055" spans="1:11" x14ac:dyDescent="0.3">
      <c r="A1055" t="s">
        <v>1847</v>
      </c>
      <c r="B1055" t="s">
        <v>1855</v>
      </c>
      <c r="C1055">
        <v>17</v>
      </c>
      <c r="D1055" t="s">
        <v>1447</v>
      </c>
      <c r="E1055" t="s">
        <v>1856</v>
      </c>
      <c r="F1055" t="s">
        <v>1737</v>
      </c>
      <c r="K1055" t="str">
        <f>IF(ISBLANK('Q 5'!C219),"",IF('Q 5'!C219="&lt;please select&gt;","",'Q 5'!C219))</f>
        <v>Category C installation</v>
      </c>
    </row>
    <row r="1056" spans="1:11" x14ac:dyDescent="0.3">
      <c r="A1056" t="s">
        <v>1847</v>
      </c>
      <c r="B1056" t="s">
        <v>1855</v>
      </c>
      <c r="C1056">
        <v>18</v>
      </c>
      <c r="D1056" t="s">
        <v>1447</v>
      </c>
      <c r="E1056" t="s">
        <v>1856</v>
      </c>
      <c r="F1056" t="s">
        <v>1737</v>
      </c>
      <c r="K1056" t="str">
        <f>IF(ISBLANK('Q 5'!C220),"",IF('Q 5'!C220="&lt;please select&gt;","",'Q 5'!C220))</f>
        <v>Installation with low emissions</v>
      </c>
    </row>
    <row r="1057" spans="1:11" x14ac:dyDescent="0.3">
      <c r="A1057" t="s">
        <v>1847</v>
      </c>
      <c r="B1057" t="s">
        <v>1855</v>
      </c>
      <c r="C1057">
        <v>19</v>
      </c>
      <c r="D1057" t="s">
        <v>1447</v>
      </c>
      <c r="E1057" t="s">
        <v>1856</v>
      </c>
      <c r="F1057" t="s">
        <v>1737</v>
      </c>
      <c r="K1057" t="str">
        <f>IF(ISBLANK('Q 5'!C221),"",IF('Q 5'!C221="&lt;please select&gt;","",'Q 5'!C221))</f>
        <v>Category A installation</v>
      </c>
    </row>
    <row r="1058" spans="1:11" x14ac:dyDescent="0.3">
      <c r="A1058" t="s">
        <v>1847</v>
      </c>
      <c r="B1058" t="s">
        <v>1855</v>
      </c>
      <c r="C1058">
        <v>20</v>
      </c>
      <c r="D1058" t="s">
        <v>1447</v>
      </c>
      <c r="E1058" t="s">
        <v>1856</v>
      </c>
      <c r="F1058" t="s">
        <v>1737</v>
      </c>
      <c r="K1058" t="str">
        <f>IF(ISBLANK('Q 5'!C222),"",IF('Q 5'!C222="&lt;please select&gt;","",'Q 5'!C222))</f>
        <v>Installation with low emissions</v>
      </c>
    </row>
    <row r="1059" spans="1:11" x14ac:dyDescent="0.3">
      <c r="A1059" t="s">
        <v>1847</v>
      </c>
      <c r="B1059" t="s">
        <v>1855</v>
      </c>
      <c r="C1059">
        <v>21</v>
      </c>
      <c r="D1059" t="s">
        <v>1447</v>
      </c>
      <c r="E1059" t="s">
        <v>1856</v>
      </c>
      <c r="F1059" t="s">
        <v>1737</v>
      </c>
      <c r="K1059" t="str">
        <f>IF(ISBLANK('Q 5'!C223),"",IF('Q 5'!C223="&lt;please select&gt;","",'Q 5'!C223))</f>
        <v>Category B installation</v>
      </c>
    </row>
    <row r="1060" spans="1:11" x14ac:dyDescent="0.3">
      <c r="A1060" t="s">
        <v>1847</v>
      </c>
      <c r="B1060" t="s">
        <v>1855</v>
      </c>
      <c r="C1060">
        <v>22</v>
      </c>
      <c r="D1060" t="s">
        <v>1447</v>
      </c>
      <c r="E1060" t="s">
        <v>1856</v>
      </c>
      <c r="F1060" t="s">
        <v>1737</v>
      </c>
      <c r="K1060" t="str">
        <f>IF(ISBLANK('Q 5'!C224),"",IF('Q 5'!C224="&lt;please select&gt;","",'Q 5'!C224))</f>
        <v>Installation with low emissions</v>
      </c>
    </row>
    <row r="1061" spans="1:11" x14ac:dyDescent="0.3">
      <c r="A1061" t="s">
        <v>1847</v>
      </c>
      <c r="B1061" t="s">
        <v>1855</v>
      </c>
      <c r="C1061">
        <v>23</v>
      </c>
      <c r="D1061" t="s">
        <v>1447</v>
      </c>
      <c r="E1061" t="s">
        <v>1856</v>
      </c>
      <c r="F1061" t="s">
        <v>1737</v>
      </c>
      <c r="K1061" t="str">
        <f>IF(ISBLANK('Q 5'!C225),"",IF('Q 5'!C225="&lt;please select&gt;","",'Q 5'!C225))</f>
        <v>Category B installation</v>
      </c>
    </row>
    <row r="1062" spans="1:11" x14ac:dyDescent="0.3">
      <c r="A1062" t="s">
        <v>1847</v>
      </c>
      <c r="B1062" t="s">
        <v>1855</v>
      </c>
      <c r="C1062">
        <v>24</v>
      </c>
      <c r="D1062" t="s">
        <v>1447</v>
      </c>
      <c r="E1062" t="s">
        <v>1856</v>
      </c>
      <c r="F1062" t="s">
        <v>1737</v>
      </c>
      <c r="K1062" t="str">
        <f>IF(ISBLANK('Q 5'!C226),"",IF('Q 5'!C226="&lt;please select&gt;","",'Q 5'!C226))</f>
        <v>Installation with low emissions</v>
      </c>
    </row>
    <row r="1063" spans="1:11" x14ac:dyDescent="0.3">
      <c r="A1063" t="s">
        <v>1847</v>
      </c>
      <c r="B1063" t="s">
        <v>1855</v>
      </c>
      <c r="C1063">
        <v>25</v>
      </c>
      <c r="D1063" t="s">
        <v>1447</v>
      </c>
      <c r="E1063" t="s">
        <v>1856</v>
      </c>
      <c r="F1063" t="s">
        <v>1737</v>
      </c>
      <c r="K1063" t="str">
        <f>IF(ISBLANK('Q 5'!C227),"",IF('Q 5'!C227="&lt;please select&gt;","",'Q 5'!C227))</f>
        <v>Category B installation</v>
      </c>
    </row>
    <row r="1064" spans="1:11" x14ac:dyDescent="0.3">
      <c r="A1064" t="s">
        <v>1847</v>
      </c>
      <c r="B1064" t="s">
        <v>1855</v>
      </c>
      <c r="C1064">
        <v>26</v>
      </c>
      <c r="D1064" t="s">
        <v>1447</v>
      </c>
      <c r="E1064" t="s">
        <v>1856</v>
      </c>
      <c r="F1064" t="s">
        <v>1737</v>
      </c>
      <c r="K1064" t="str">
        <f>IF(ISBLANK('Q 5'!C228),"",IF('Q 5'!C228="&lt;please select&gt;","",'Q 5'!C228))</f>
        <v>Installation with low emissions</v>
      </c>
    </row>
    <row r="1065" spans="1:11" x14ac:dyDescent="0.3">
      <c r="A1065" t="s">
        <v>1847</v>
      </c>
      <c r="B1065" t="s">
        <v>1855</v>
      </c>
      <c r="C1065">
        <v>27</v>
      </c>
      <c r="D1065" t="s">
        <v>1447</v>
      </c>
      <c r="E1065" t="s">
        <v>1856</v>
      </c>
      <c r="F1065" t="s">
        <v>1737</v>
      </c>
      <c r="K1065" t="str">
        <f>IF(ISBLANK('Q 5'!C229),"",IF('Q 5'!C229="&lt;please select&gt;","",'Q 5'!C229))</f>
        <v>Installation with low emissions</v>
      </c>
    </row>
    <row r="1066" spans="1:11" x14ac:dyDescent="0.3">
      <c r="A1066" t="s">
        <v>1847</v>
      </c>
      <c r="B1066" t="s">
        <v>1855</v>
      </c>
      <c r="C1066">
        <v>28</v>
      </c>
      <c r="D1066" t="s">
        <v>1447</v>
      </c>
      <c r="E1066" t="s">
        <v>1856</v>
      </c>
      <c r="F1066" t="s">
        <v>1737</v>
      </c>
      <c r="K1066" t="str">
        <f>IF(ISBLANK('Q 5'!C230),"",IF('Q 5'!C230="&lt;please select&gt;","",'Q 5'!C230))</f>
        <v>Category B installation</v>
      </c>
    </row>
    <row r="1067" spans="1:11" x14ac:dyDescent="0.3">
      <c r="A1067" t="s">
        <v>1847</v>
      </c>
      <c r="B1067" t="s">
        <v>1855</v>
      </c>
      <c r="C1067">
        <v>29</v>
      </c>
      <c r="D1067" t="s">
        <v>1447</v>
      </c>
      <c r="E1067" t="s">
        <v>1856</v>
      </c>
      <c r="F1067" t="s">
        <v>1737</v>
      </c>
      <c r="K1067" t="str">
        <f>IF(ISBLANK('Q 5'!C231),"",IF('Q 5'!C231="&lt;please select&gt;","",'Q 5'!C231))</f>
        <v>Category B installation</v>
      </c>
    </row>
    <row r="1068" spans="1:11" x14ac:dyDescent="0.3">
      <c r="A1068" t="s">
        <v>1847</v>
      </c>
      <c r="B1068" t="s">
        <v>1855</v>
      </c>
      <c r="C1068">
        <v>30</v>
      </c>
      <c r="D1068" t="s">
        <v>1447</v>
      </c>
      <c r="E1068" t="s">
        <v>1856</v>
      </c>
      <c r="F1068" t="s">
        <v>1737</v>
      </c>
      <c r="K1068" t="str">
        <f>IF(ISBLANK('Q 5'!C232),"",IF('Q 5'!C232="&lt;please select&gt;","",'Q 5'!C232))</f>
        <v>Category B installation</v>
      </c>
    </row>
    <row r="1069" spans="1:11" x14ac:dyDescent="0.3">
      <c r="A1069" t="s">
        <v>1847</v>
      </c>
      <c r="B1069" t="s">
        <v>1855</v>
      </c>
      <c r="C1069">
        <v>31</v>
      </c>
      <c r="D1069" t="s">
        <v>1447</v>
      </c>
      <c r="E1069" t="s">
        <v>1856</v>
      </c>
      <c r="F1069" t="s">
        <v>1737</v>
      </c>
      <c r="K1069" t="str">
        <f>IF(ISBLANK('Q 5'!C233),"",IF('Q 5'!C233="&lt;please select&gt;","",'Q 5'!C233))</f>
        <v>Installation with low emissions</v>
      </c>
    </row>
    <row r="1070" spans="1:11" x14ac:dyDescent="0.3">
      <c r="A1070" t="s">
        <v>1847</v>
      </c>
      <c r="B1070" t="s">
        <v>1855</v>
      </c>
      <c r="C1070">
        <v>32</v>
      </c>
      <c r="D1070" t="s">
        <v>1447</v>
      </c>
      <c r="E1070" t="s">
        <v>1856</v>
      </c>
      <c r="F1070" t="s">
        <v>1737</v>
      </c>
      <c r="K1070" t="str">
        <f>IF(ISBLANK('Q 5'!C234),"",IF('Q 5'!C234="&lt;please select&gt;","",'Q 5'!C234))</f>
        <v>Category A installation</v>
      </c>
    </row>
    <row r="1071" spans="1:11" x14ac:dyDescent="0.3">
      <c r="A1071" t="s">
        <v>1847</v>
      </c>
      <c r="B1071" t="s">
        <v>1855</v>
      </c>
      <c r="C1071">
        <v>33</v>
      </c>
      <c r="D1071" t="s">
        <v>1447</v>
      </c>
      <c r="E1071" t="s">
        <v>1856</v>
      </c>
      <c r="F1071" t="s">
        <v>1737</v>
      </c>
      <c r="K1071" t="str">
        <f>IF(ISBLANK('Q 5'!C235),"",IF('Q 5'!C235="&lt;please select&gt;","",'Q 5'!C235))</f>
        <v>Installation with low emissions</v>
      </c>
    </row>
    <row r="1072" spans="1:11" x14ac:dyDescent="0.3">
      <c r="A1072" t="s">
        <v>1847</v>
      </c>
      <c r="B1072" t="s">
        <v>1855</v>
      </c>
      <c r="C1072">
        <v>34</v>
      </c>
      <c r="D1072" t="s">
        <v>1447</v>
      </c>
      <c r="E1072" t="s">
        <v>1856</v>
      </c>
      <c r="F1072" t="s">
        <v>1737</v>
      </c>
      <c r="K1072" t="str">
        <f>IF(ISBLANK('Q 5'!C236),"",IF('Q 5'!C236="&lt;please select&gt;","",'Q 5'!C236))</f>
        <v>Category A installation</v>
      </c>
    </row>
    <row r="1073" spans="1:11" x14ac:dyDescent="0.3">
      <c r="A1073" t="s">
        <v>1847</v>
      </c>
      <c r="B1073" t="s">
        <v>1855</v>
      </c>
      <c r="C1073">
        <v>35</v>
      </c>
      <c r="D1073" t="s">
        <v>1447</v>
      </c>
      <c r="E1073" t="s">
        <v>1856</v>
      </c>
      <c r="F1073" t="s">
        <v>1737</v>
      </c>
      <c r="K1073" t="str">
        <f>IF(ISBLANK('Q 5'!C237),"",IF('Q 5'!C237="&lt;please select&gt;","",'Q 5'!C237))</f>
        <v>Category B installation</v>
      </c>
    </row>
    <row r="1074" spans="1:11" x14ac:dyDescent="0.3">
      <c r="A1074" t="s">
        <v>1847</v>
      </c>
      <c r="B1074" t="s">
        <v>1855</v>
      </c>
      <c r="C1074">
        <v>36</v>
      </c>
      <c r="D1074" t="s">
        <v>1447</v>
      </c>
      <c r="E1074" t="s">
        <v>1856</v>
      </c>
      <c r="F1074" t="s">
        <v>1737</v>
      </c>
      <c r="K1074" t="str">
        <f>IF(ISBLANK('Q 5'!C238),"",IF('Q 5'!C238="&lt;please select&gt;","",'Q 5'!C238))</f>
        <v>Category C installation</v>
      </c>
    </row>
    <row r="1075" spans="1:11" x14ac:dyDescent="0.3">
      <c r="A1075" t="s">
        <v>1847</v>
      </c>
      <c r="B1075" t="s">
        <v>1855</v>
      </c>
      <c r="C1075">
        <v>37</v>
      </c>
      <c r="D1075" t="s">
        <v>1447</v>
      </c>
      <c r="E1075" t="s">
        <v>1856</v>
      </c>
      <c r="F1075" t="s">
        <v>1737</v>
      </c>
      <c r="K1075" t="str">
        <f>IF(ISBLANK('Q 5'!C239),"",IF('Q 5'!C239="&lt;please select&gt;","",'Q 5'!C239))</f>
        <v>Installation with low emissions</v>
      </c>
    </row>
    <row r="1076" spans="1:11" x14ac:dyDescent="0.3">
      <c r="A1076" t="s">
        <v>1847</v>
      </c>
      <c r="B1076" t="s">
        <v>1855</v>
      </c>
      <c r="C1076">
        <v>38</v>
      </c>
      <c r="D1076" t="s">
        <v>1447</v>
      </c>
      <c r="E1076" t="s">
        <v>1856</v>
      </c>
      <c r="F1076" t="s">
        <v>1737</v>
      </c>
      <c r="K1076" t="str">
        <f>IF(ISBLANK('Q 5'!C240),"",IF('Q 5'!C240="&lt;please select&gt;","",'Q 5'!C240))</f>
        <v>Category A installation</v>
      </c>
    </row>
    <row r="1077" spans="1:11" x14ac:dyDescent="0.3">
      <c r="A1077" t="s">
        <v>1847</v>
      </c>
      <c r="B1077" t="s">
        <v>1855</v>
      </c>
      <c r="C1077">
        <v>39</v>
      </c>
      <c r="D1077" t="s">
        <v>1447</v>
      </c>
      <c r="E1077" t="s">
        <v>1856</v>
      </c>
      <c r="F1077" t="s">
        <v>1737</v>
      </c>
      <c r="K1077" t="str">
        <f>IF(ISBLANK('Q 5'!C241),"",IF('Q 5'!C241="&lt;please select&gt;","",'Q 5'!C241))</f>
        <v>Category C installation</v>
      </c>
    </row>
    <row r="1078" spans="1:11" x14ac:dyDescent="0.3">
      <c r="A1078" t="s">
        <v>1847</v>
      </c>
      <c r="B1078" t="s">
        <v>1855</v>
      </c>
      <c r="C1078">
        <v>40</v>
      </c>
      <c r="D1078" t="s">
        <v>1447</v>
      </c>
      <c r="E1078" t="s">
        <v>1856</v>
      </c>
      <c r="F1078" t="s">
        <v>1737</v>
      </c>
      <c r="K1078" t="str">
        <f>IF(ISBLANK('Q 5'!C242),"",IF('Q 5'!C242="&lt;please select&gt;","",'Q 5'!C242))</f>
        <v>Installation with low emissions</v>
      </c>
    </row>
    <row r="1079" spans="1:11" x14ac:dyDescent="0.3">
      <c r="A1079" t="s">
        <v>1847</v>
      </c>
      <c r="B1079" t="s">
        <v>1855</v>
      </c>
      <c r="C1079">
        <v>41</v>
      </c>
      <c r="D1079" t="s">
        <v>1447</v>
      </c>
      <c r="E1079" t="s">
        <v>1856</v>
      </c>
      <c r="F1079" t="s">
        <v>1737</v>
      </c>
      <c r="K1079" t="str">
        <f>IF(ISBLANK('Q 5'!C243),"",IF('Q 5'!C243="&lt;please select&gt;","",'Q 5'!C243))</f>
        <v>Category B installation</v>
      </c>
    </row>
    <row r="1080" spans="1:11" x14ac:dyDescent="0.3">
      <c r="A1080" t="s">
        <v>1847</v>
      </c>
      <c r="B1080" t="s">
        <v>1855</v>
      </c>
      <c r="C1080">
        <v>42</v>
      </c>
      <c r="D1080" t="s">
        <v>1447</v>
      </c>
      <c r="E1080" t="s">
        <v>1856</v>
      </c>
      <c r="F1080" t="s">
        <v>1737</v>
      </c>
      <c r="K1080" t="str">
        <f>IF(ISBLANK('Q 5'!C244),"",IF('Q 5'!C244="&lt;please select&gt;","",'Q 5'!C244))</f>
        <v>Installation with low emissions</v>
      </c>
    </row>
    <row r="1081" spans="1:11" x14ac:dyDescent="0.3">
      <c r="A1081" t="s">
        <v>1847</v>
      </c>
      <c r="B1081" t="s">
        <v>1855</v>
      </c>
      <c r="C1081">
        <v>43</v>
      </c>
      <c r="D1081" t="s">
        <v>1447</v>
      </c>
      <c r="E1081" t="s">
        <v>1856</v>
      </c>
      <c r="F1081" t="s">
        <v>1737</v>
      </c>
      <c r="K1081" t="str">
        <f>IF(ISBLANK('Q 5'!C245),"",IF('Q 5'!C245="&lt;please select&gt;","",'Q 5'!C245))</f>
        <v>Category C installation</v>
      </c>
    </row>
    <row r="1082" spans="1:11" x14ac:dyDescent="0.3">
      <c r="A1082" t="s">
        <v>1847</v>
      </c>
      <c r="B1082" t="s">
        <v>1855</v>
      </c>
      <c r="C1082">
        <v>44</v>
      </c>
      <c r="D1082" t="s">
        <v>1447</v>
      </c>
      <c r="E1082" t="s">
        <v>1856</v>
      </c>
      <c r="F1082" t="s">
        <v>1737</v>
      </c>
      <c r="K1082" t="str">
        <f>IF(ISBLANK('Q 5'!C246),"",IF('Q 5'!C246="&lt;please select&gt;","",'Q 5'!C246))</f>
        <v>Category A installation</v>
      </c>
    </row>
    <row r="1083" spans="1:11" x14ac:dyDescent="0.3">
      <c r="A1083" t="s">
        <v>1847</v>
      </c>
      <c r="B1083" t="s">
        <v>1855</v>
      </c>
      <c r="C1083">
        <v>45</v>
      </c>
      <c r="D1083" t="s">
        <v>1447</v>
      </c>
      <c r="E1083" t="s">
        <v>1856</v>
      </c>
      <c r="F1083" t="s">
        <v>1737</v>
      </c>
      <c r="K1083" t="str">
        <f>IF(ISBLANK('Q 5'!C247),"",IF('Q 5'!C247="&lt;please select&gt;","",'Q 5'!C247))</f>
        <v>Category C installation</v>
      </c>
    </row>
    <row r="1084" spans="1:11" x14ac:dyDescent="0.3">
      <c r="A1084" t="s">
        <v>1847</v>
      </c>
      <c r="B1084" t="s">
        <v>1855</v>
      </c>
      <c r="C1084">
        <v>46</v>
      </c>
      <c r="D1084" t="s">
        <v>1447</v>
      </c>
      <c r="E1084" t="s">
        <v>1856</v>
      </c>
      <c r="F1084" t="s">
        <v>1737</v>
      </c>
      <c r="K1084" t="str">
        <f>IF(ISBLANK('Q 5'!C248),"",IF('Q 5'!C248="&lt;please select&gt;","",'Q 5'!C248))</f>
        <v/>
      </c>
    </row>
    <row r="1085" spans="1:11" x14ac:dyDescent="0.3">
      <c r="A1085" t="s">
        <v>1847</v>
      </c>
      <c r="B1085" t="s">
        <v>1855</v>
      </c>
      <c r="C1085">
        <v>47</v>
      </c>
      <c r="D1085" t="s">
        <v>1447</v>
      </c>
      <c r="E1085" t="s">
        <v>1856</v>
      </c>
      <c r="F1085" t="s">
        <v>1737</v>
      </c>
      <c r="K1085" t="str">
        <f>IF(ISBLANK('Q 5'!C249),"",IF('Q 5'!C249="&lt;please select&gt;","",'Q 5'!C249))</f>
        <v/>
      </c>
    </row>
    <row r="1086" spans="1:11" x14ac:dyDescent="0.3">
      <c r="A1086" t="s">
        <v>1847</v>
      </c>
      <c r="B1086" t="s">
        <v>1855</v>
      </c>
      <c r="C1086">
        <v>48</v>
      </c>
      <c r="D1086" t="s">
        <v>1447</v>
      </c>
      <c r="E1086" t="s">
        <v>1856</v>
      </c>
      <c r="F1086" t="s">
        <v>1737</v>
      </c>
      <c r="K1086" t="str">
        <f>IF(ISBLANK('Q 5'!C250),"",IF('Q 5'!C250="&lt;please select&gt;","",'Q 5'!C250))</f>
        <v/>
      </c>
    </row>
    <row r="1087" spans="1:11" x14ac:dyDescent="0.3">
      <c r="A1087" t="s">
        <v>1847</v>
      </c>
      <c r="B1087" t="s">
        <v>1855</v>
      </c>
      <c r="C1087">
        <v>49</v>
      </c>
      <c r="D1087" t="s">
        <v>1447</v>
      </c>
      <c r="E1087" t="s">
        <v>1856</v>
      </c>
      <c r="F1087" t="s">
        <v>1737</v>
      </c>
      <c r="K1087" t="str">
        <f>IF(ISBLANK('Q 5'!C251),"",IF('Q 5'!C251="&lt;please select&gt;","",'Q 5'!C251))</f>
        <v/>
      </c>
    </row>
    <row r="1088" spans="1:11" x14ac:dyDescent="0.3">
      <c r="A1088" t="s">
        <v>1847</v>
      </c>
      <c r="B1088" t="s">
        <v>1855</v>
      </c>
      <c r="C1088">
        <v>50</v>
      </c>
      <c r="D1088" t="s">
        <v>1447</v>
      </c>
      <c r="E1088" t="s">
        <v>1856</v>
      </c>
      <c r="F1088" t="s">
        <v>1737</v>
      </c>
      <c r="K1088" t="str">
        <f>IF(ISBLANK('Q 5'!C252),"",IF('Q 5'!C252="&lt;please select&gt;","",'Q 5'!C252))</f>
        <v/>
      </c>
    </row>
    <row r="1089" spans="1:11" x14ac:dyDescent="0.3">
      <c r="A1089" t="s">
        <v>1847</v>
      </c>
      <c r="B1089" t="s">
        <v>1855</v>
      </c>
      <c r="C1089">
        <v>51</v>
      </c>
      <c r="D1089" t="s">
        <v>1447</v>
      </c>
      <c r="E1089" t="s">
        <v>1856</v>
      </c>
      <c r="F1089" t="s">
        <v>1737</v>
      </c>
      <c r="K1089" t="str">
        <f>IF(ISBLANK('Q 5'!C253),"",IF('Q 5'!C253="&lt;please select&gt;","",'Q 5'!C253))</f>
        <v/>
      </c>
    </row>
    <row r="1090" spans="1:11" x14ac:dyDescent="0.3">
      <c r="A1090" t="s">
        <v>1847</v>
      </c>
      <c r="B1090" t="s">
        <v>1855</v>
      </c>
      <c r="C1090">
        <v>52</v>
      </c>
      <c r="D1090" t="s">
        <v>1447</v>
      </c>
      <c r="E1090" t="s">
        <v>1856</v>
      </c>
      <c r="F1090" t="s">
        <v>1737</v>
      </c>
      <c r="K1090" t="str">
        <f>IF(ISBLANK('Q 5'!C254),"",IF('Q 5'!C254="&lt;please select&gt;","",'Q 5'!C254))</f>
        <v/>
      </c>
    </row>
    <row r="1091" spans="1:11" x14ac:dyDescent="0.3">
      <c r="A1091" t="s">
        <v>1847</v>
      </c>
      <c r="B1091" t="s">
        <v>1855</v>
      </c>
      <c r="C1091">
        <v>53</v>
      </c>
      <c r="D1091" t="s">
        <v>1447</v>
      </c>
      <c r="E1091" t="s">
        <v>1856</v>
      </c>
      <c r="F1091" t="s">
        <v>1737</v>
      </c>
      <c r="K1091" t="str">
        <f>IF(ISBLANK('Q 5'!C255),"",IF('Q 5'!C255="&lt;please select&gt;","",'Q 5'!C255))</f>
        <v/>
      </c>
    </row>
    <row r="1092" spans="1:11" x14ac:dyDescent="0.3">
      <c r="A1092" t="s">
        <v>1847</v>
      </c>
      <c r="B1092" t="s">
        <v>1855</v>
      </c>
      <c r="C1092">
        <v>54</v>
      </c>
      <c r="D1092" t="s">
        <v>1447</v>
      </c>
      <c r="E1092" t="s">
        <v>1856</v>
      </c>
      <c r="F1092" t="s">
        <v>1737</v>
      </c>
      <c r="K1092" t="str">
        <f>IF(ISBLANK('Q 5'!C256),"",IF('Q 5'!C256="&lt;please select&gt;","",'Q 5'!C256))</f>
        <v/>
      </c>
    </row>
    <row r="1093" spans="1:11" x14ac:dyDescent="0.3">
      <c r="A1093" t="s">
        <v>1847</v>
      </c>
      <c r="B1093" t="s">
        <v>1855</v>
      </c>
      <c r="C1093">
        <v>55</v>
      </c>
      <c r="D1093" t="s">
        <v>1447</v>
      </c>
      <c r="E1093" t="s">
        <v>1856</v>
      </c>
      <c r="F1093" t="s">
        <v>1737</v>
      </c>
      <c r="K1093" t="str">
        <f>IF(ISBLANK('Q 5'!C257),"",IF('Q 5'!C257="&lt;please select&gt;","",'Q 5'!C257))</f>
        <v/>
      </c>
    </row>
    <row r="1094" spans="1:11" x14ac:dyDescent="0.3">
      <c r="A1094" t="s">
        <v>1847</v>
      </c>
      <c r="B1094" t="s">
        <v>1855</v>
      </c>
      <c r="C1094">
        <v>56</v>
      </c>
      <c r="D1094" t="s">
        <v>1447</v>
      </c>
      <c r="E1094" t="s">
        <v>1856</v>
      </c>
      <c r="F1094" t="s">
        <v>1737</v>
      </c>
      <c r="K1094" t="str">
        <f>IF(ISBLANK('Q 5'!C258),"",IF('Q 5'!C258="&lt;please select&gt;","",'Q 5'!C258))</f>
        <v/>
      </c>
    </row>
    <row r="1095" spans="1:11" x14ac:dyDescent="0.3">
      <c r="A1095" t="s">
        <v>1847</v>
      </c>
      <c r="B1095" t="s">
        <v>1855</v>
      </c>
      <c r="C1095">
        <v>57</v>
      </c>
      <c r="D1095" t="s">
        <v>1447</v>
      </c>
      <c r="E1095" t="s">
        <v>1856</v>
      </c>
      <c r="F1095" t="s">
        <v>1737</v>
      </c>
      <c r="K1095" t="str">
        <f>IF(ISBLANK('Q 5'!C259),"",IF('Q 5'!C259="&lt;please select&gt;","",'Q 5'!C259))</f>
        <v/>
      </c>
    </row>
    <row r="1096" spans="1:11" x14ac:dyDescent="0.3">
      <c r="A1096" t="s">
        <v>1847</v>
      </c>
      <c r="B1096" t="s">
        <v>1855</v>
      </c>
      <c r="C1096">
        <v>58</v>
      </c>
      <c r="D1096" t="s">
        <v>1447</v>
      </c>
      <c r="E1096" t="s">
        <v>1856</v>
      </c>
      <c r="F1096" t="s">
        <v>1737</v>
      </c>
      <c r="K1096" t="str">
        <f>IF(ISBLANK('Q 5'!C260),"",IF('Q 5'!C260="&lt;please select&gt;","",'Q 5'!C260))</f>
        <v/>
      </c>
    </row>
    <row r="1097" spans="1:11" x14ac:dyDescent="0.3">
      <c r="A1097" t="s">
        <v>1847</v>
      </c>
      <c r="B1097" t="s">
        <v>1855</v>
      </c>
      <c r="C1097">
        <v>59</v>
      </c>
      <c r="D1097" t="s">
        <v>1447</v>
      </c>
      <c r="E1097" t="s">
        <v>1856</v>
      </c>
      <c r="F1097" t="s">
        <v>1737</v>
      </c>
      <c r="K1097" t="str">
        <f>IF(ISBLANK('Q 5'!C261),"",IF('Q 5'!C261="&lt;please select&gt;","",'Q 5'!C261))</f>
        <v/>
      </c>
    </row>
    <row r="1098" spans="1:11" x14ac:dyDescent="0.3">
      <c r="A1098" t="s">
        <v>1847</v>
      </c>
      <c r="B1098" t="s">
        <v>1855</v>
      </c>
      <c r="C1098">
        <v>60</v>
      </c>
      <c r="D1098" t="s">
        <v>1447</v>
      </c>
      <c r="E1098" t="s">
        <v>1856</v>
      </c>
      <c r="F1098" t="s">
        <v>1737</v>
      </c>
      <c r="K1098" t="str">
        <f>IF(ISBLANK('Q 5'!C262),"",IF('Q 5'!C262="&lt;please select&gt;","",'Q 5'!C262))</f>
        <v/>
      </c>
    </row>
    <row r="1099" spans="1:11" x14ac:dyDescent="0.3">
      <c r="A1099" t="s">
        <v>1847</v>
      </c>
      <c r="B1099" t="s">
        <v>1855</v>
      </c>
      <c r="C1099">
        <v>61</v>
      </c>
      <c r="D1099" t="s">
        <v>1447</v>
      </c>
      <c r="E1099" t="s">
        <v>1856</v>
      </c>
      <c r="F1099" t="s">
        <v>1737</v>
      </c>
      <c r="K1099" t="str">
        <f>IF(ISBLANK('Q 5'!C263),"",IF('Q 5'!C263="&lt;please select&gt;","",'Q 5'!C263))</f>
        <v/>
      </c>
    </row>
    <row r="1100" spans="1:11" x14ac:dyDescent="0.3">
      <c r="A1100" t="s">
        <v>1847</v>
      </c>
      <c r="B1100" t="s">
        <v>1855</v>
      </c>
      <c r="C1100">
        <v>62</v>
      </c>
      <c r="D1100" t="s">
        <v>1447</v>
      </c>
      <c r="E1100" t="s">
        <v>1856</v>
      </c>
      <c r="F1100" t="s">
        <v>1737</v>
      </c>
      <c r="K1100" t="str">
        <f>IF(ISBLANK('Q 5'!C264),"",IF('Q 5'!C264="&lt;please select&gt;","",'Q 5'!C264))</f>
        <v/>
      </c>
    </row>
    <row r="1101" spans="1:11" x14ac:dyDescent="0.3">
      <c r="A1101" t="s">
        <v>1847</v>
      </c>
      <c r="B1101" t="s">
        <v>1855</v>
      </c>
      <c r="C1101">
        <v>63</v>
      </c>
      <c r="D1101" t="s">
        <v>1447</v>
      </c>
      <c r="E1101" t="s">
        <v>1856</v>
      </c>
      <c r="F1101" t="s">
        <v>1737</v>
      </c>
      <c r="K1101" t="str">
        <f>IF(ISBLANK('Q 5'!C265),"",IF('Q 5'!C265="&lt;please select&gt;","",'Q 5'!C265))</f>
        <v/>
      </c>
    </row>
    <row r="1102" spans="1:11" x14ac:dyDescent="0.3">
      <c r="A1102" t="s">
        <v>1847</v>
      </c>
      <c r="B1102" t="s">
        <v>1855</v>
      </c>
      <c r="C1102">
        <v>64</v>
      </c>
      <c r="D1102" t="s">
        <v>1447</v>
      </c>
      <c r="E1102" t="s">
        <v>1856</v>
      </c>
      <c r="F1102" t="s">
        <v>1737</v>
      </c>
      <c r="K1102" t="str">
        <f>IF(ISBLANK('Q 5'!C266),"",IF('Q 5'!C266="&lt;please select&gt;","",'Q 5'!C266))</f>
        <v/>
      </c>
    </row>
    <row r="1103" spans="1:11" x14ac:dyDescent="0.3">
      <c r="A1103" t="s">
        <v>1847</v>
      </c>
      <c r="B1103" t="s">
        <v>1855</v>
      </c>
      <c r="C1103">
        <v>65</v>
      </c>
      <c r="D1103" t="s">
        <v>1447</v>
      </c>
      <c r="E1103" t="s">
        <v>1856</v>
      </c>
      <c r="F1103" t="s">
        <v>1737</v>
      </c>
      <c r="K1103" t="str">
        <f>IF(ISBLANK('Q 5'!C267),"",IF('Q 5'!C267="&lt;please select&gt;","",'Q 5'!C267))</f>
        <v/>
      </c>
    </row>
    <row r="1104" spans="1:11" x14ac:dyDescent="0.3">
      <c r="A1104" t="s">
        <v>1847</v>
      </c>
      <c r="B1104" t="s">
        <v>1855</v>
      </c>
      <c r="C1104">
        <v>66</v>
      </c>
      <c r="D1104" t="s">
        <v>1447</v>
      </c>
      <c r="E1104" t="s">
        <v>1856</v>
      </c>
      <c r="F1104" t="s">
        <v>1737</v>
      </c>
      <c r="K1104" t="str">
        <f>IF(ISBLANK('Q 5'!C268),"",IF('Q 5'!C268="&lt;please select&gt;","",'Q 5'!C268))</f>
        <v/>
      </c>
    </row>
    <row r="1105" spans="1:11" x14ac:dyDescent="0.3">
      <c r="A1105" t="s">
        <v>1847</v>
      </c>
      <c r="B1105" t="s">
        <v>1855</v>
      </c>
      <c r="C1105">
        <v>67</v>
      </c>
      <c r="D1105" t="s">
        <v>1447</v>
      </c>
      <c r="E1105" t="s">
        <v>1856</v>
      </c>
      <c r="F1105" t="s">
        <v>1737</v>
      </c>
      <c r="K1105" t="str">
        <f>IF(ISBLANK('Q 5'!C269),"",IF('Q 5'!C269="&lt;please select&gt;","",'Q 5'!C269))</f>
        <v/>
      </c>
    </row>
    <row r="1106" spans="1:11" x14ac:dyDescent="0.3">
      <c r="A1106" t="s">
        <v>1847</v>
      </c>
      <c r="B1106" t="s">
        <v>1855</v>
      </c>
      <c r="C1106">
        <v>68</v>
      </c>
      <c r="D1106" t="s">
        <v>1447</v>
      </c>
      <c r="E1106" t="s">
        <v>1856</v>
      </c>
      <c r="F1106" t="s">
        <v>1737</v>
      </c>
      <c r="K1106" t="str">
        <f>IF(ISBLANK('Q 5'!C270),"",IF('Q 5'!C270="&lt;please select&gt;","",'Q 5'!C270))</f>
        <v/>
      </c>
    </row>
    <row r="1107" spans="1:11" x14ac:dyDescent="0.3">
      <c r="A1107" t="s">
        <v>1847</v>
      </c>
      <c r="B1107" t="s">
        <v>1855</v>
      </c>
      <c r="C1107">
        <v>69</v>
      </c>
      <c r="D1107" t="s">
        <v>1447</v>
      </c>
      <c r="E1107" t="s">
        <v>1856</v>
      </c>
      <c r="F1107" t="s">
        <v>1737</v>
      </c>
      <c r="K1107" t="str">
        <f>IF(ISBLANK('Q 5'!C271),"",IF('Q 5'!C271="&lt;please select&gt;","",'Q 5'!C271))</f>
        <v/>
      </c>
    </row>
    <row r="1108" spans="1:11" x14ac:dyDescent="0.3">
      <c r="A1108" t="s">
        <v>1847</v>
      </c>
      <c r="B1108" t="s">
        <v>1855</v>
      </c>
      <c r="C1108">
        <v>70</v>
      </c>
      <c r="D1108" t="s">
        <v>1447</v>
      </c>
      <c r="E1108" t="s">
        <v>1856</v>
      </c>
      <c r="F1108" t="s">
        <v>1737</v>
      </c>
      <c r="K1108" t="str">
        <f>IF(ISBLANK('Q 5'!C272),"",IF('Q 5'!C272="&lt;please select&gt;","",'Q 5'!C272))</f>
        <v/>
      </c>
    </row>
    <row r="1109" spans="1:11" x14ac:dyDescent="0.3">
      <c r="A1109" t="s">
        <v>1847</v>
      </c>
      <c r="B1109" t="s">
        <v>1855</v>
      </c>
      <c r="C1109">
        <v>71</v>
      </c>
      <c r="D1109" t="s">
        <v>1447</v>
      </c>
      <c r="E1109" t="s">
        <v>1856</v>
      </c>
      <c r="F1109" t="s">
        <v>1737</v>
      </c>
      <c r="K1109" t="str">
        <f>IF(ISBLANK('Q 5'!C273),"",IF('Q 5'!C273="&lt;please select&gt;","",'Q 5'!C273))</f>
        <v/>
      </c>
    </row>
    <row r="1110" spans="1:11" x14ac:dyDescent="0.3">
      <c r="A1110" t="s">
        <v>1847</v>
      </c>
      <c r="B1110" t="s">
        <v>1855</v>
      </c>
      <c r="C1110">
        <v>72</v>
      </c>
      <c r="D1110" t="s">
        <v>1447</v>
      </c>
      <c r="E1110" t="s">
        <v>1856</v>
      </c>
      <c r="F1110" t="s">
        <v>1737</v>
      </c>
      <c r="K1110" t="str">
        <f>IF(ISBLANK('Q 5'!C274),"",IF('Q 5'!C274="&lt;please select&gt;","",'Q 5'!C274))</f>
        <v/>
      </c>
    </row>
    <row r="1111" spans="1:11" x14ac:dyDescent="0.3">
      <c r="A1111" t="s">
        <v>1847</v>
      </c>
      <c r="B1111" t="s">
        <v>1855</v>
      </c>
      <c r="C1111">
        <v>73</v>
      </c>
      <c r="D1111" t="s">
        <v>1447</v>
      </c>
      <c r="E1111" t="s">
        <v>1856</v>
      </c>
      <c r="F1111" t="s">
        <v>1737</v>
      </c>
      <c r="K1111" t="str">
        <f>IF(ISBLANK('Q 5'!C275),"",IF('Q 5'!C275="&lt;please select&gt;","",'Q 5'!C275))</f>
        <v/>
      </c>
    </row>
    <row r="1112" spans="1:11" x14ac:dyDescent="0.3">
      <c r="A1112" t="s">
        <v>1847</v>
      </c>
      <c r="B1112" t="s">
        <v>1855</v>
      </c>
      <c r="C1112">
        <v>74</v>
      </c>
      <c r="D1112" t="s">
        <v>1447</v>
      </c>
      <c r="E1112" t="s">
        <v>1856</v>
      </c>
      <c r="F1112" t="s">
        <v>1737</v>
      </c>
      <c r="K1112" t="str">
        <f>IF(ISBLANK('Q 5'!C276),"",IF('Q 5'!C276="&lt;please select&gt;","",'Q 5'!C276))</f>
        <v/>
      </c>
    </row>
    <row r="1113" spans="1:11" x14ac:dyDescent="0.3">
      <c r="A1113" t="s">
        <v>1847</v>
      </c>
      <c r="B1113" t="s">
        <v>1855</v>
      </c>
      <c r="C1113">
        <v>75</v>
      </c>
      <c r="D1113" t="s">
        <v>1447</v>
      </c>
      <c r="E1113" t="s">
        <v>1856</v>
      </c>
      <c r="F1113" t="s">
        <v>1737</v>
      </c>
      <c r="K1113" t="str">
        <f>IF(ISBLANK('Q 5'!C277),"",IF('Q 5'!C277="&lt;please select&gt;","",'Q 5'!C277))</f>
        <v/>
      </c>
    </row>
    <row r="1114" spans="1:11" x14ac:dyDescent="0.3">
      <c r="A1114" t="s">
        <v>1847</v>
      </c>
      <c r="B1114" t="s">
        <v>1855</v>
      </c>
      <c r="C1114">
        <v>76</v>
      </c>
      <c r="D1114" t="s">
        <v>1447</v>
      </c>
      <c r="E1114" t="s">
        <v>1856</v>
      </c>
      <c r="F1114" t="s">
        <v>1737</v>
      </c>
      <c r="K1114" t="str">
        <f>IF(ISBLANK('Q 5'!C278),"",IF('Q 5'!C278="&lt;please select&gt;","",'Q 5'!C278))</f>
        <v/>
      </c>
    </row>
    <row r="1115" spans="1:11" x14ac:dyDescent="0.3">
      <c r="A1115" t="s">
        <v>1847</v>
      </c>
      <c r="B1115" t="s">
        <v>1855</v>
      </c>
      <c r="C1115">
        <v>77</v>
      </c>
      <c r="D1115" t="s">
        <v>1447</v>
      </c>
      <c r="E1115" t="s">
        <v>1856</v>
      </c>
      <c r="F1115" t="s">
        <v>1737</v>
      </c>
      <c r="K1115" t="str">
        <f>IF(ISBLANK('Q 5'!C279),"",IF('Q 5'!C279="&lt;please select&gt;","",'Q 5'!C279))</f>
        <v/>
      </c>
    </row>
    <row r="1116" spans="1:11" x14ac:dyDescent="0.3">
      <c r="A1116" t="s">
        <v>1847</v>
      </c>
      <c r="B1116" t="s">
        <v>1855</v>
      </c>
      <c r="C1116">
        <v>78</v>
      </c>
      <c r="D1116" t="s">
        <v>1447</v>
      </c>
      <c r="E1116" t="s">
        <v>1856</v>
      </c>
      <c r="F1116" t="s">
        <v>1737</v>
      </c>
      <c r="K1116" t="str">
        <f>IF(ISBLANK('Q 5'!C280),"",IF('Q 5'!C280="&lt;please select&gt;","",'Q 5'!C280))</f>
        <v/>
      </c>
    </row>
    <row r="1117" spans="1:11" x14ac:dyDescent="0.3">
      <c r="A1117" t="s">
        <v>1847</v>
      </c>
      <c r="B1117" t="s">
        <v>1855</v>
      </c>
      <c r="C1117">
        <v>79</v>
      </c>
      <c r="D1117" t="s">
        <v>1447</v>
      </c>
      <c r="E1117" t="s">
        <v>1856</v>
      </c>
      <c r="F1117" t="s">
        <v>1737</v>
      </c>
      <c r="K1117" t="str">
        <f>IF(ISBLANK('Q 5'!C281),"",IF('Q 5'!C281="&lt;please select&gt;","",'Q 5'!C281))</f>
        <v/>
      </c>
    </row>
    <row r="1118" spans="1:11" x14ac:dyDescent="0.3">
      <c r="A1118" t="s">
        <v>1847</v>
      </c>
      <c r="B1118" t="s">
        <v>1855</v>
      </c>
      <c r="C1118">
        <v>80</v>
      </c>
      <c r="D1118" t="s">
        <v>1447</v>
      </c>
      <c r="E1118" t="s">
        <v>1856</v>
      </c>
      <c r="F1118" t="s">
        <v>1737</v>
      </c>
      <c r="K1118" t="str">
        <f>IF(ISBLANK('Q 5'!C282),"",IF('Q 5'!C282="&lt;please select&gt;","",'Q 5'!C282))</f>
        <v/>
      </c>
    </row>
    <row r="1119" spans="1:11" x14ac:dyDescent="0.3">
      <c r="A1119" t="s">
        <v>1847</v>
      </c>
      <c r="B1119" t="s">
        <v>1855</v>
      </c>
      <c r="C1119">
        <v>81</v>
      </c>
      <c r="D1119" t="s">
        <v>1447</v>
      </c>
      <c r="E1119" t="s">
        <v>1856</v>
      </c>
      <c r="F1119" t="s">
        <v>1737</v>
      </c>
      <c r="K1119" t="str">
        <f>IF(ISBLANK('Q 5'!C283),"",IF('Q 5'!C283="&lt;please select&gt;","",'Q 5'!C283))</f>
        <v/>
      </c>
    </row>
    <row r="1120" spans="1:11" x14ac:dyDescent="0.3">
      <c r="A1120" t="s">
        <v>1847</v>
      </c>
      <c r="B1120" t="s">
        <v>1855</v>
      </c>
      <c r="C1120">
        <v>82</v>
      </c>
      <c r="D1120" t="s">
        <v>1447</v>
      </c>
      <c r="E1120" t="s">
        <v>1856</v>
      </c>
      <c r="F1120" t="s">
        <v>1737</v>
      </c>
      <c r="K1120" t="str">
        <f>IF(ISBLANK('Q 5'!C284),"",IF('Q 5'!C284="&lt;please select&gt;","",'Q 5'!C284))</f>
        <v/>
      </c>
    </row>
    <row r="1121" spans="1:11" x14ac:dyDescent="0.3">
      <c r="A1121" t="s">
        <v>1847</v>
      </c>
      <c r="B1121" t="s">
        <v>1855</v>
      </c>
      <c r="C1121">
        <v>83</v>
      </c>
      <c r="D1121" t="s">
        <v>1447</v>
      </c>
      <c r="E1121" t="s">
        <v>1856</v>
      </c>
      <c r="F1121" t="s">
        <v>1737</v>
      </c>
      <c r="K1121" t="str">
        <f>IF(ISBLANK('Q 5'!C285),"",IF('Q 5'!C285="&lt;please select&gt;","",'Q 5'!C285))</f>
        <v/>
      </c>
    </row>
    <row r="1122" spans="1:11" x14ac:dyDescent="0.3">
      <c r="A1122" t="s">
        <v>1847</v>
      </c>
      <c r="B1122" t="s">
        <v>1855</v>
      </c>
      <c r="C1122">
        <v>84</v>
      </c>
      <c r="D1122" t="s">
        <v>1447</v>
      </c>
      <c r="E1122" t="s">
        <v>1856</v>
      </c>
      <c r="F1122" t="s">
        <v>1737</v>
      </c>
      <c r="K1122" t="str">
        <f>IF(ISBLANK('Q 5'!C286),"",IF('Q 5'!C286="&lt;please select&gt;","",'Q 5'!C286))</f>
        <v/>
      </c>
    </row>
    <row r="1123" spans="1:11" x14ac:dyDescent="0.3">
      <c r="A1123" t="s">
        <v>1847</v>
      </c>
      <c r="B1123" t="s">
        <v>1855</v>
      </c>
      <c r="C1123">
        <v>85</v>
      </c>
      <c r="D1123" t="s">
        <v>1447</v>
      </c>
      <c r="E1123" t="s">
        <v>1856</v>
      </c>
      <c r="F1123" t="s">
        <v>1737</v>
      </c>
      <c r="K1123" t="str">
        <f>IF(ISBLANK('Q 5'!C287),"",IF('Q 5'!C287="&lt;please select&gt;","",'Q 5'!C287))</f>
        <v/>
      </c>
    </row>
    <row r="1124" spans="1:11" x14ac:dyDescent="0.3">
      <c r="A1124" t="s">
        <v>1847</v>
      </c>
      <c r="B1124" t="s">
        <v>1855</v>
      </c>
      <c r="C1124">
        <v>86</v>
      </c>
      <c r="D1124" t="s">
        <v>1447</v>
      </c>
      <c r="E1124" t="s">
        <v>1856</v>
      </c>
      <c r="F1124" t="s">
        <v>1737</v>
      </c>
      <c r="K1124" t="str">
        <f>IF(ISBLANK('Q 5'!C288),"",IF('Q 5'!C288="&lt;please select&gt;","",'Q 5'!C288))</f>
        <v/>
      </c>
    </row>
    <row r="1125" spans="1:11" x14ac:dyDescent="0.3">
      <c r="A1125" t="s">
        <v>1847</v>
      </c>
      <c r="B1125" t="s">
        <v>1855</v>
      </c>
      <c r="C1125">
        <v>87</v>
      </c>
      <c r="D1125" t="s">
        <v>1447</v>
      </c>
      <c r="E1125" t="s">
        <v>1856</v>
      </c>
      <c r="F1125" t="s">
        <v>1737</v>
      </c>
      <c r="K1125" t="str">
        <f>IF(ISBLANK('Q 5'!C289),"",IF('Q 5'!C289="&lt;please select&gt;","",'Q 5'!C289))</f>
        <v/>
      </c>
    </row>
    <row r="1126" spans="1:11" x14ac:dyDescent="0.3">
      <c r="A1126" t="s">
        <v>1847</v>
      </c>
      <c r="B1126" t="s">
        <v>1855</v>
      </c>
      <c r="C1126">
        <v>88</v>
      </c>
      <c r="D1126" t="s">
        <v>1447</v>
      </c>
      <c r="E1126" t="s">
        <v>1856</v>
      </c>
      <c r="F1126" t="s">
        <v>1737</v>
      </c>
      <c r="K1126" t="str">
        <f>IF(ISBLANK('Q 5'!C290),"",IF('Q 5'!C290="&lt;please select&gt;","",'Q 5'!C290))</f>
        <v/>
      </c>
    </row>
    <row r="1127" spans="1:11" x14ac:dyDescent="0.3">
      <c r="A1127" t="s">
        <v>1847</v>
      </c>
      <c r="B1127" t="s">
        <v>1855</v>
      </c>
      <c r="C1127">
        <v>89</v>
      </c>
      <c r="D1127" t="s">
        <v>1447</v>
      </c>
      <c r="E1127" t="s">
        <v>1856</v>
      </c>
      <c r="F1127" t="s">
        <v>1737</v>
      </c>
      <c r="K1127" t="str">
        <f>IF(ISBLANK('Q 5'!C291),"",IF('Q 5'!C291="&lt;please select&gt;","",'Q 5'!C291))</f>
        <v/>
      </c>
    </row>
    <row r="1128" spans="1:11" x14ac:dyDescent="0.3">
      <c r="A1128" t="s">
        <v>1847</v>
      </c>
      <c r="B1128" t="s">
        <v>1855</v>
      </c>
      <c r="C1128">
        <v>90</v>
      </c>
      <c r="D1128" t="s">
        <v>1447</v>
      </c>
      <c r="E1128" t="s">
        <v>1856</v>
      </c>
      <c r="F1128" t="s">
        <v>1737</v>
      </c>
      <c r="K1128" t="str">
        <f>IF(ISBLANK('Q 5'!C292),"",IF('Q 5'!C292="&lt;please select&gt;","",'Q 5'!C292))</f>
        <v/>
      </c>
    </row>
    <row r="1129" spans="1:11" x14ac:dyDescent="0.3">
      <c r="A1129" t="s">
        <v>1847</v>
      </c>
      <c r="B1129" t="s">
        <v>1855</v>
      </c>
      <c r="C1129">
        <v>91</v>
      </c>
      <c r="D1129" t="s">
        <v>1447</v>
      </c>
      <c r="E1129" t="s">
        <v>1856</v>
      </c>
      <c r="F1129" t="s">
        <v>1737</v>
      </c>
      <c r="K1129" t="str">
        <f>IF(ISBLANK('Q 5'!C293),"",IF('Q 5'!C293="&lt;please select&gt;","",'Q 5'!C293))</f>
        <v/>
      </c>
    </row>
    <row r="1130" spans="1:11" x14ac:dyDescent="0.3">
      <c r="A1130" t="s">
        <v>1847</v>
      </c>
      <c r="B1130" t="s">
        <v>1855</v>
      </c>
      <c r="C1130">
        <v>92</v>
      </c>
      <c r="D1130" t="s">
        <v>1447</v>
      </c>
      <c r="E1130" t="s">
        <v>1856</v>
      </c>
      <c r="F1130" t="s">
        <v>1737</v>
      </c>
      <c r="K1130" t="str">
        <f>IF(ISBLANK('Q 5'!C294),"",IF('Q 5'!C294="&lt;please select&gt;","",'Q 5'!C294))</f>
        <v/>
      </c>
    </row>
    <row r="1131" spans="1:11" x14ac:dyDescent="0.3">
      <c r="A1131" t="s">
        <v>1847</v>
      </c>
      <c r="B1131" t="s">
        <v>1855</v>
      </c>
      <c r="C1131">
        <v>93</v>
      </c>
      <c r="D1131" t="s">
        <v>1447</v>
      </c>
      <c r="E1131" t="s">
        <v>1856</v>
      </c>
      <c r="F1131" t="s">
        <v>1737</v>
      </c>
      <c r="K1131" t="str">
        <f>IF(ISBLANK('Q 5'!C295),"",IF('Q 5'!C295="&lt;please select&gt;","",'Q 5'!C295))</f>
        <v/>
      </c>
    </row>
    <row r="1132" spans="1:11" x14ac:dyDescent="0.3">
      <c r="A1132" t="s">
        <v>1847</v>
      </c>
      <c r="B1132" t="s">
        <v>1855</v>
      </c>
      <c r="C1132">
        <v>94</v>
      </c>
      <c r="D1132" t="s">
        <v>1447</v>
      </c>
      <c r="E1132" t="s">
        <v>1856</v>
      </c>
      <c r="F1132" t="s">
        <v>1737</v>
      </c>
      <c r="K1132" t="str">
        <f>IF(ISBLANK('Q 5'!C296),"",IF('Q 5'!C296="&lt;please select&gt;","",'Q 5'!C296))</f>
        <v/>
      </c>
    </row>
    <row r="1133" spans="1:11" x14ac:dyDescent="0.3">
      <c r="A1133" t="s">
        <v>1847</v>
      </c>
      <c r="B1133" t="s">
        <v>1855</v>
      </c>
      <c r="C1133">
        <v>95</v>
      </c>
      <c r="D1133" t="s">
        <v>1447</v>
      </c>
      <c r="E1133" t="s">
        <v>1856</v>
      </c>
      <c r="F1133" t="s">
        <v>1737</v>
      </c>
      <c r="K1133" t="str">
        <f>IF(ISBLANK('Q 5'!C297),"",IF('Q 5'!C297="&lt;please select&gt;","",'Q 5'!C297))</f>
        <v/>
      </c>
    </row>
    <row r="1134" spans="1:11" x14ac:dyDescent="0.3">
      <c r="A1134" t="s">
        <v>1847</v>
      </c>
      <c r="B1134" t="s">
        <v>1855</v>
      </c>
      <c r="C1134">
        <v>96</v>
      </c>
      <c r="D1134" t="s">
        <v>1447</v>
      </c>
      <c r="E1134" t="s">
        <v>1856</v>
      </c>
      <c r="F1134" t="s">
        <v>1737</v>
      </c>
      <c r="K1134" t="str">
        <f>IF(ISBLANK('Q 5'!C298),"",IF('Q 5'!C298="&lt;please select&gt;","",'Q 5'!C298))</f>
        <v/>
      </c>
    </row>
    <row r="1135" spans="1:11" x14ac:dyDescent="0.3">
      <c r="A1135" t="s">
        <v>1847</v>
      </c>
      <c r="B1135" t="s">
        <v>1855</v>
      </c>
      <c r="C1135">
        <v>97</v>
      </c>
      <c r="D1135" t="s">
        <v>1447</v>
      </c>
      <c r="E1135" t="s">
        <v>1856</v>
      </c>
      <c r="F1135" t="s">
        <v>1737</v>
      </c>
      <c r="K1135" t="str">
        <f>IF(ISBLANK('Q 5'!C299),"",IF('Q 5'!C299="&lt;please select&gt;","",'Q 5'!C299))</f>
        <v/>
      </c>
    </row>
    <row r="1136" spans="1:11" x14ac:dyDescent="0.3">
      <c r="A1136" t="s">
        <v>1847</v>
      </c>
      <c r="B1136" t="s">
        <v>1855</v>
      </c>
      <c r="C1136">
        <v>98</v>
      </c>
      <c r="D1136" t="s">
        <v>1447</v>
      </c>
      <c r="E1136" t="s">
        <v>1856</v>
      </c>
      <c r="F1136" t="s">
        <v>1737</v>
      </c>
      <c r="K1136" t="str">
        <f>IF(ISBLANK('Q 5'!C300),"",IF('Q 5'!C300="&lt;please select&gt;","",'Q 5'!C300))</f>
        <v/>
      </c>
    </row>
    <row r="1137" spans="1:11" x14ac:dyDescent="0.3">
      <c r="A1137" t="s">
        <v>1847</v>
      </c>
      <c r="B1137" t="s">
        <v>1855</v>
      </c>
      <c r="C1137">
        <v>99</v>
      </c>
      <c r="D1137" t="s">
        <v>1447</v>
      </c>
      <c r="E1137" t="s">
        <v>1856</v>
      </c>
      <c r="F1137" t="s">
        <v>1737</v>
      </c>
      <c r="K1137" t="str">
        <f>IF(ISBLANK('Q 5'!C301),"",IF('Q 5'!C301="&lt;please select&gt;","",'Q 5'!C301))</f>
        <v/>
      </c>
    </row>
    <row r="1138" spans="1:11" x14ac:dyDescent="0.3">
      <c r="A1138" t="s">
        <v>1847</v>
      </c>
      <c r="B1138" t="s">
        <v>1855</v>
      </c>
      <c r="C1138">
        <v>100</v>
      </c>
      <c r="D1138" t="s">
        <v>1447</v>
      </c>
      <c r="E1138" t="s">
        <v>1856</v>
      </c>
      <c r="F1138" t="s">
        <v>1737</v>
      </c>
      <c r="K1138" t="str">
        <f>IF(ISBLANK('Q 5'!C302),"",IF('Q 5'!C302="&lt;please select&gt;","",'Q 5'!C302))</f>
        <v/>
      </c>
    </row>
    <row r="1139" spans="1:11" x14ac:dyDescent="0.3">
      <c r="A1139" t="s">
        <v>1847</v>
      </c>
      <c r="B1139" t="s">
        <v>1855</v>
      </c>
      <c r="C1139">
        <v>101</v>
      </c>
      <c r="D1139" t="s">
        <v>1447</v>
      </c>
      <c r="E1139" t="s">
        <v>1856</v>
      </c>
      <c r="F1139" t="s">
        <v>1737</v>
      </c>
      <c r="K1139" t="str">
        <f>IF(ISBLANK('Q 5'!C303),"",IF('Q 5'!C303="&lt;please select&gt;","",'Q 5'!C303))</f>
        <v/>
      </c>
    </row>
    <row r="1140" spans="1:11" x14ac:dyDescent="0.3">
      <c r="A1140" t="s">
        <v>1847</v>
      </c>
      <c r="B1140" t="s">
        <v>1855</v>
      </c>
      <c r="C1140">
        <v>102</v>
      </c>
      <c r="D1140" t="s">
        <v>1447</v>
      </c>
      <c r="E1140" t="s">
        <v>1856</v>
      </c>
      <c r="F1140" t="s">
        <v>1737</v>
      </c>
      <c r="K1140" t="str">
        <f>IF(ISBLANK('Q 5'!C304),"",IF('Q 5'!C304="&lt;please select&gt;","",'Q 5'!C304))</f>
        <v/>
      </c>
    </row>
    <row r="1141" spans="1:11" x14ac:dyDescent="0.3">
      <c r="A1141" t="s">
        <v>1847</v>
      </c>
      <c r="B1141" t="s">
        <v>1855</v>
      </c>
      <c r="C1141">
        <v>103</v>
      </c>
      <c r="D1141" t="s">
        <v>1447</v>
      </c>
      <c r="E1141" t="s">
        <v>1856</v>
      </c>
      <c r="F1141" t="s">
        <v>1737</v>
      </c>
      <c r="K1141" t="str">
        <f>IF(ISBLANK('Q 5'!C305),"",IF('Q 5'!C305="&lt;please select&gt;","",'Q 5'!C305))</f>
        <v/>
      </c>
    </row>
    <row r="1142" spans="1:11" x14ac:dyDescent="0.3">
      <c r="A1142" t="s">
        <v>1847</v>
      </c>
      <c r="B1142" t="s">
        <v>1855</v>
      </c>
      <c r="C1142">
        <v>104</v>
      </c>
      <c r="D1142" t="s">
        <v>1447</v>
      </c>
      <c r="E1142" t="s">
        <v>1856</v>
      </c>
      <c r="F1142" t="s">
        <v>1737</v>
      </c>
      <c r="K1142" t="str">
        <f>IF(ISBLANK('Q 5'!C306),"",IF('Q 5'!C306="&lt;please select&gt;","",'Q 5'!C306))</f>
        <v/>
      </c>
    </row>
    <row r="1143" spans="1:11" x14ac:dyDescent="0.3">
      <c r="A1143" t="s">
        <v>1847</v>
      </c>
      <c r="B1143" t="s">
        <v>1855</v>
      </c>
      <c r="C1143">
        <v>105</v>
      </c>
      <c r="D1143" t="s">
        <v>1447</v>
      </c>
      <c r="E1143" t="s">
        <v>1856</v>
      </c>
      <c r="F1143" t="s">
        <v>1737</v>
      </c>
      <c r="K1143" t="str">
        <f>IF(ISBLANK('Q 5'!C307),"",IF('Q 5'!C307="&lt;please select&gt;","",'Q 5'!C307))</f>
        <v/>
      </c>
    </row>
    <row r="1144" spans="1:11" x14ac:dyDescent="0.3">
      <c r="A1144" t="s">
        <v>1847</v>
      </c>
      <c r="B1144" t="s">
        <v>1855</v>
      </c>
      <c r="C1144">
        <v>106</v>
      </c>
      <c r="D1144" t="s">
        <v>1447</v>
      </c>
      <c r="E1144" t="s">
        <v>1856</v>
      </c>
      <c r="F1144" t="s">
        <v>1737</v>
      </c>
      <c r="K1144" t="str">
        <f>IF(ISBLANK('Q 5'!C308),"",IF('Q 5'!C308="&lt;please select&gt;","",'Q 5'!C308))</f>
        <v/>
      </c>
    </row>
    <row r="1145" spans="1:11" x14ac:dyDescent="0.3">
      <c r="A1145" t="s">
        <v>1847</v>
      </c>
      <c r="B1145" t="s">
        <v>1855</v>
      </c>
      <c r="C1145">
        <v>107</v>
      </c>
      <c r="D1145" t="s">
        <v>1447</v>
      </c>
      <c r="E1145" t="s">
        <v>1856</v>
      </c>
      <c r="F1145" t="s">
        <v>1737</v>
      </c>
      <c r="K1145" t="str">
        <f>IF(ISBLANK('Q 5'!C309),"",IF('Q 5'!C309="&lt;please select&gt;","",'Q 5'!C309))</f>
        <v/>
      </c>
    </row>
    <row r="1146" spans="1:11" x14ac:dyDescent="0.3">
      <c r="A1146" t="s">
        <v>1847</v>
      </c>
      <c r="B1146" t="s">
        <v>1855</v>
      </c>
      <c r="C1146">
        <v>108</v>
      </c>
      <c r="D1146" t="s">
        <v>1447</v>
      </c>
      <c r="E1146" t="s">
        <v>1856</v>
      </c>
      <c r="F1146" t="s">
        <v>1737</v>
      </c>
      <c r="K1146" t="str">
        <f>IF(ISBLANK('Q 5'!C310),"",IF('Q 5'!C310="&lt;please select&gt;","",'Q 5'!C310))</f>
        <v/>
      </c>
    </row>
    <row r="1147" spans="1:11" x14ac:dyDescent="0.3">
      <c r="A1147" t="s">
        <v>1847</v>
      </c>
      <c r="B1147" t="s">
        <v>1855</v>
      </c>
      <c r="C1147">
        <v>109</v>
      </c>
      <c r="D1147" t="s">
        <v>1447</v>
      </c>
      <c r="E1147" t="s">
        <v>1856</v>
      </c>
      <c r="F1147" t="s">
        <v>1737</v>
      </c>
      <c r="K1147" t="str">
        <f>IF(ISBLANK('Q 5'!C311),"",IF('Q 5'!C311="&lt;please select&gt;","",'Q 5'!C311))</f>
        <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Biomass (solid) - NCV</v>
      </c>
    </row>
    <row r="1840" spans="1:11" x14ac:dyDescent="0.3">
      <c r="A1840" t="s">
        <v>1847</v>
      </c>
      <c r="B1840" t="s">
        <v>1855</v>
      </c>
      <c r="C1840">
        <v>2</v>
      </c>
      <c r="D1840" t="s">
        <v>1447</v>
      </c>
      <c r="E1840" t="s">
        <v>1857</v>
      </c>
      <c r="F1840" t="s">
        <v>1741</v>
      </c>
      <c r="G1840" t="str">
        <f>IF(ISBLANK('Q 5'!H204),"",IF('Q 5'!H204="&lt;please select&gt;","",'Q 5'!H204))</f>
        <v>Biomass (solid) - NCV</v>
      </c>
    </row>
    <row r="1841" spans="1:7" x14ac:dyDescent="0.3">
      <c r="A1841" t="s">
        <v>1847</v>
      </c>
      <c r="B1841" t="s">
        <v>1855</v>
      </c>
      <c r="C1841">
        <v>3</v>
      </c>
      <c r="D1841" t="s">
        <v>1447</v>
      </c>
      <c r="E1841" t="s">
        <v>1857</v>
      </c>
      <c r="F1841" t="s">
        <v>1741</v>
      </c>
      <c r="G1841" t="str">
        <f>IF(ISBLANK('Q 5'!H205),"",IF('Q 5'!H205="&lt;please select&gt;","",'Q 5'!H205))</f>
        <v>Biomass (solid) - NCV</v>
      </c>
    </row>
    <row r="1842" spans="1:7" x14ac:dyDescent="0.3">
      <c r="A1842" t="s">
        <v>1847</v>
      </c>
      <c r="B1842" t="s">
        <v>1855</v>
      </c>
      <c r="C1842">
        <v>4</v>
      </c>
      <c r="D1842" t="s">
        <v>1447</v>
      </c>
      <c r="E1842" t="s">
        <v>1857</v>
      </c>
      <c r="F1842" t="s">
        <v>1741</v>
      </c>
      <c r="G1842" t="str">
        <f>IF(ISBLANK('Q 5'!H206),"",IF('Q 5'!H206="&lt;please select&gt;","",'Q 5'!H206))</f>
        <v>Biomass (solid) - NCV</v>
      </c>
    </row>
    <row r="1843" spans="1:7" x14ac:dyDescent="0.3">
      <c r="A1843" t="s">
        <v>1847</v>
      </c>
      <c r="B1843" t="s">
        <v>1855</v>
      </c>
      <c r="C1843">
        <v>5</v>
      </c>
      <c r="D1843" t="s">
        <v>1447</v>
      </c>
      <c r="E1843" t="s">
        <v>1857</v>
      </c>
      <c r="F1843" t="s">
        <v>1741</v>
      </c>
      <c r="G1843" t="str">
        <f>IF(ISBLANK('Q 5'!H207),"",IF('Q 5'!H207="&lt;please select&gt;","",'Q 5'!H207))</f>
        <v>Biogas (NCV)</v>
      </c>
    </row>
    <row r="1844" spans="1:7" x14ac:dyDescent="0.3">
      <c r="A1844" t="s">
        <v>1847</v>
      </c>
      <c r="B1844" t="s">
        <v>1855</v>
      </c>
      <c r="C1844">
        <v>6</v>
      </c>
      <c r="D1844" t="s">
        <v>1447</v>
      </c>
      <c r="E1844" t="s">
        <v>1857</v>
      </c>
      <c r="F1844" t="s">
        <v>1741</v>
      </c>
      <c r="G1844" t="str">
        <f>IF(ISBLANK('Q 5'!H208),"",IF('Q 5'!H208="&lt;please select&gt;","",'Q 5'!H208))</f>
        <v>Biogas (EF)</v>
      </c>
    </row>
    <row r="1845" spans="1:7" x14ac:dyDescent="0.3">
      <c r="A1845" t="s">
        <v>1847</v>
      </c>
      <c r="B1845" t="s">
        <v>1855</v>
      </c>
      <c r="C1845">
        <v>7</v>
      </c>
      <c r="D1845" t="s">
        <v>1447</v>
      </c>
      <c r="E1845" t="s">
        <v>1857</v>
      </c>
      <c r="F1845" t="s">
        <v>1741</v>
      </c>
      <c r="G1845" t="str">
        <f>IF(ISBLANK('Q 5'!H209),"",IF('Q 5'!H209="&lt;please select&gt;","",'Q 5'!H209))</f>
        <v>Biomas (liquid) - NCV</v>
      </c>
    </row>
    <row r="1846" spans="1:7" x14ac:dyDescent="0.3">
      <c r="A1846" t="s">
        <v>1847</v>
      </c>
      <c r="B1846" t="s">
        <v>1855</v>
      </c>
      <c r="C1846">
        <v>8</v>
      </c>
      <c r="D1846" t="s">
        <v>1447</v>
      </c>
      <c r="E1846" t="s">
        <v>1857</v>
      </c>
      <c r="F1846" t="s">
        <v>1741</v>
      </c>
      <c r="G1846" t="str">
        <f>IF(ISBLANK('Q 5'!H210),"",IF('Q 5'!H210="&lt;please select&gt;","",'Q 5'!H210))</f>
        <v>Old Tires (NCV+EF)</v>
      </c>
    </row>
    <row r="1847" spans="1:7" x14ac:dyDescent="0.3">
      <c r="A1847" t="s">
        <v>1847</v>
      </c>
      <c r="B1847" t="s">
        <v>1855</v>
      </c>
      <c r="C1847">
        <v>9</v>
      </c>
      <c r="D1847" t="s">
        <v>1447</v>
      </c>
      <c r="E1847" t="s">
        <v>1857</v>
      </c>
      <c r="F1847" t="s">
        <v>1741</v>
      </c>
      <c r="G1847" t="str">
        <f>IF(ISBLANK('Q 5'!H211),"",IF('Q 5'!H211="&lt;please select&gt;","",'Q 5'!H211))</f>
        <v>Antracit (NCV+EF)</v>
      </c>
    </row>
    <row r="1848" spans="1:7" x14ac:dyDescent="0.3">
      <c r="A1848" t="s">
        <v>1847</v>
      </c>
      <c r="B1848" t="s">
        <v>1855</v>
      </c>
      <c r="C1848">
        <v>10</v>
      </c>
      <c r="D1848" t="s">
        <v>1447</v>
      </c>
      <c r="E1848" t="s">
        <v>1857</v>
      </c>
      <c r="F1848" t="s">
        <v>1741</v>
      </c>
      <c r="G1848" t="str">
        <f>IF(ISBLANK('Q 5'!H212),"",IF('Q 5'!H212="&lt;please select&gt;","",'Q 5'!H212))</f>
        <v>Antracit (NCV+EF)</v>
      </c>
    </row>
    <row r="1849" spans="1:7" x14ac:dyDescent="0.3">
      <c r="A1849" t="s">
        <v>1847</v>
      </c>
      <c r="B1849" t="s">
        <v>1855</v>
      </c>
      <c r="C1849">
        <v>11</v>
      </c>
      <c r="D1849" t="s">
        <v>1447</v>
      </c>
      <c r="E1849" t="s">
        <v>1857</v>
      </c>
      <c r="F1849" t="s">
        <v>1741</v>
      </c>
      <c r="G1849" t="str">
        <f>IF(ISBLANK('Q 5'!H213),"",IF('Q 5'!H213="&lt;please select&gt;","",'Q 5'!H213))</f>
        <v>Coke (NCV+EF)</v>
      </c>
    </row>
    <row r="1850" spans="1:7" x14ac:dyDescent="0.3">
      <c r="A1850" t="s">
        <v>1847</v>
      </c>
      <c r="B1850" t="s">
        <v>1855</v>
      </c>
      <c r="C1850">
        <v>12</v>
      </c>
      <c r="D1850" t="s">
        <v>1447</v>
      </c>
      <c r="E1850" t="s">
        <v>1857</v>
      </c>
      <c r="F1850" t="s">
        <v>1741</v>
      </c>
      <c r="G1850" t="str">
        <f>IF(ISBLANK('Q 5'!H214),"",IF('Q 5'!H214="&lt;please select&gt;","",'Q 5'!H214))</f>
        <v>Light Fuel Oil (NCV+EF)</v>
      </c>
    </row>
    <row r="1851" spans="1:7" x14ac:dyDescent="0.3">
      <c r="A1851" t="s">
        <v>1847</v>
      </c>
      <c r="B1851" t="s">
        <v>1855</v>
      </c>
      <c r="C1851">
        <v>13</v>
      </c>
      <c r="D1851" t="s">
        <v>1447</v>
      </c>
      <c r="E1851" t="s">
        <v>1857</v>
      </c>
      <c r="F1851" t="s">
        <v>1741</v>
      </c>
      <c r="G1851" t="str">
        <f>IF(ISBLANK('Q 5'!H215),"",IF('Q 5'!H215="&lt;please select&gt;","",'Q 5'!H215))</f>
        <v>Light Fuel Oil (NCV+EF)</v>
      </c>
    </row>
    <row r="1852" spans="1:7" x14ac:dyDescent="0.3">
      <c r="A1852" t="s">
        <v>1847</v>
      </c>
      <c r="B1852" t="s">
        <v>1855</v>
      </c>
      <c r="C1852">
        <v>14</v>
      </c>
      <c r="D1852" t="s">
        <v>1447</v>
      </c>
      <c r="E1852" t="s">
        <v>1857</v>
      </c>
      <c r="F1852" t="s">
        <v>1741</v>
      </c>
      <c r="G1852" t="str">
        <f>IF(ISBLANK('Q 5'!H216),"",IF('Q 5'!H216="&lt;please select&gt;","",'Q 5'!H216))</f>
        <v>Light Fuel Oil (EF)</v>
      </c>
    </row>
    <row r="1853" spans="1:7" x14ac:dyDescent="0.3">
      <c r="A1853" t="s">
        <v>1847</v>
      </c>
      <c r="B1853" t="s">
        <v>1855</v>
      </c>
      <c r="C1853">
        <v>15</v>
      </c>
      <c r="D1853" t="s">
        <v>1447</v>
      </c>
      <c r="E1853" t="s">
        <v>1857</v>
      </c>
      <c r="F1853" t="s">
        <v>1741</v>
      </c>
      <c r="G1853" t="str">
        <f>IF(ISBLANK('Q 5'!H217),"",IF('Q 5'!H217="&lt;please select&gt;","",'Q 5'!H217))</f>
        <v>Light Fuel Oil (NCV+EF)</v>
      </c>
    </row>
    <row r="1854" spans="1:7" x14ac:dyDescent="0.3">
      <c r="A1854" t="s">
        <v>1847</v>
      </c>
      <c r="B1854" t="s">
        <v>1855</v>
      </c>
      <c r="C1854">
        <v>16</v>
      </c>
      <c r="D1854" t="s">
        <v>1447</v>
      </c>
      <c r="E1854" t="s">
        <v>1857</v>
      </c>
      <c r="F1854" t="s">
        <v>1741</v>
      </c>
      <c r="G1854" t="str">
        <f>IF(ISBLANK('Q 5'!H218),"",IF('Q 5'!H218="&lt;please select&gt;","",'Q 5'!H218))</f>
        <v>Light Fuel Oil (EF)</v>
      </c>
    </row>
    <row r="1855" spans="1:7" x14ac:dyDescent="0.3">
      <c r="A1855" t="s">
        <v>1847</v>
      </c>
      <c r="B1855" t="s">
        <v>1855</v>
      </c>
      <c r="C1855">
        <v>17</v>
      </c>
      <c r="D1855" t="s">
        <v>1447</v>
      </c>
      <c r="E1855" t="s">
        <v>1857</v>
      </c>
      <c r="F1855" t="s">
        <v>1741</v>
      </c>
      <c r="G1855" t="str">
        <f>IF(ISBLANK('Q 5'!H219),"",IF('Q 5'!H219="&lt;please select&gt;","",'Q 5'!H219))</f>
        <v>Light Fuel Oil (NCV+EF)</v>
      </c>
    </row>
    <row r="1856" spans="1:7" x14ac:dyDescent="0.3">
      <c r="A1856" t="s">
        <v>1847</v>
      </c>
      <c r="B1856" t="s">
        <v>1855</v>
      </c>
      <c r="C1856">
        <v>18</v>
      </c>
      <c r="D1856" t="s">
        <v>1447</v>
      </c>
      <c r="E1856" t="s">
        <v>1857</v>
      </c>
      <c r="F1856" t="s">
        <v>1741</v>
      </c>
      <c r="G1856" t="str">
        <f>IF(ISBLANK('Q 5'!H220),"",IF('Q 5'!H220="&lt;please select&gt;","",'Q 5'!H220))</f>
        <v>Off-gas (NCV+EF)</v>
      </c>
    </row>
    <row r="1857" spans="1:7" x14ac:dyDescent="0.3">
      <c r="A1857" t="s">
        <v>1847</v>
      </c>
      <c r="B1857" t="s">
        <v>1855</v>
      </c>
      <c r="C1857">
        <v>19</v>
      </c>
      <c r="D1857" t="s">
        <v>1447</v>
      </c>
      <c r="E1857" t="s">
        <v>1857</v>
      </c>
      <c r="F1857" t="s">
        <v>1741</v>
      </c>
      <c r="G1857" t="str">
        <f>IF(ISBLANK('Q 5'!H221),"",IF('Q 5'!H221="&lt;please select&gt;","",'Q 5'!H221))</f>
        <v>Off-gas (NCV+EF)</v>
      </c>
    </row>
    <row r="1858" spans="1:7" x14ac:dyDescent="0.3">
      <c r="A1858" t="s">
        <v>1847</v>
      </c>
      <c r="B1858" t="s">
        <v>1855</v>
      </c>
      <c r="C1858">
        <v>20</v>
      </c>
      <c r="D1858" t="s">
        <v>1447</v>
      </c>
      <c r="E1858" t="s">
        <v>1857</v>
      </c>
      <c r="F1858" t="s">
        <v>1741</v>
      </c>
      <c r="G1858" t="str">
        <f>IF(ISBLANK('Q 5'!H222),"",IF('Q 5'!H222="&lt;please select&gt;","",'Q 5'!H222))</f>
        <v>Steel (EF)</v>
      </c>
    </row>
    <row r="1859" spans="1:7" x14ac:dyDescent="0.3">
      <c r="A1859" t="s">
        <v>1847</v>
      </c>
      <c r="B1859" t="s">
        <v>1855</v>
      </c>
      <c r="C1859">
        <v>21</v>
      </c>
      <c r="D1859" t="s">
        <v>1447</v>
      </c>
      <c r="E1859" t="s">
        <v>1857</v>
      </c>
      <c r="F1859" t="s">
        <v>1741</v>
      </c>
      <c r="G1859" t="str">
        <f>IF(ISBLANK('Q 5'!H223),"",IF('Q 5'!H223="&lt;please select&gt;","",'Q 5'!H223))</f>
        <v>Steel (EF)</v>
      </c>
    </row>
    <row r="1860" spans="1:7" x14ac:dyDescent="0.3">
      <c r="A1860" t="s">
        <v>1847</v>
      </c>
      <c r="B1860" t="s">
        <v>1855</v>
      </c>
      <c r="C1860">
        <v>22</v>
      </c>
      <c r="D1860" t="s">
        <v>1447</v>
      </c>
      <c r="E1860" t="s">
        <v>1857</v>
      </c>
      <c r="F1860" t="s">
        <v>1741</v>
      </c>
      <c r="G1860" t="str">
        <f>IF(ISBLANK('Q 5'!H224),"",IF('Q 5'!H224="&lt;please select&gt;","",'Q 5'!H224))</f>
        <v>Steel (C content)</v>
      </c>
    </row>
    <row r="1861" spans="1:7" x14ac:dyDescent="0.3">
      <c r="A1861" t="s">
        <v>1847</v>
      </c>
      <c r="B1861" t="s">
        <v>1855</v>
      </c>
      <c r="C1861">
        <v>23</v>
      </c>
      <c r="D1861" t="s">
        <v>1447</v>
      </c>
      <c r="E1861" t="s">
        <v>1857</v>
      </c>
      <c r="F1861" t="s">
        <v>1741</v>
      </c>
      <c r="G1861" t="str">
        <f>IF(ISBLANK('Q 5'!H225),"",IF('Q 5'!H225="&lt;please select&gt;","",'Q 5'!H225))</f>
        <v>Steel (C content)</v>
      </c>
    </row>
    <row r="1862" spans="1:7" x14ac:dyDescent="0.3">
      <c r="A1862" t="s">
        <v>1847</v>
      </c>
      <c r="B1862" t="s">
        <v>1855</v>
      </c>
      <c r="C1862">
        <v>24</v>
      </c>
      <c r="D1862" t="s">
        <v>1447</v>
      </c>
      <c r="E1862" t="s">
        <v>1857</v>
      </c>
      <c r="F1862" t="s">
        <v>1741</v>
      </c>
      <c r="G1862" t="str">
        <f>IF(ISBLANK('Q 5'!H226),"",IF('Q 5'!H226="&lt;please select&gt;","",'Q 5'!H226))</f>
        <v>Pig iron / Scrap (EF)</v>
      </c>
    </row>
    <row r="1863" spans="1:7" x14ac:dyDescent="0.3">
      <c r="A1863" t="s">
        <v>1847</v>
      </c>
      <c r="B1863" t="s">
        <v>1855</v>
      </c>
      <c r="C1863">
        <v>25</v>
      </c>
      <c r="D1863" t="s">
        <v>1447</v>
      </c>
      <c r="E1863" t="s">
        <v>1857</v>
      </c>
      <c r="F1863" t="s">
        <v>1741</v>
      </c>
      <c r="G1863" t="str">
        <f>IF(ISBLANK('Q 5'!H227),"",IF('Q 5'!H227="&lt;please select&gt;","",'Q 5'!H227))</f>
        <v>Pig iron / Scrap (EF)</v>
      </c>
    </row>
    <row r="1864" spans="1:7" x14ac:dyDescent="0.3">
      <c r="A1864" t="s">
        <v>1847</v>
      </c>
      <c r="B1864" t="s">
        <v>1855</v>
      </c>
      <c r="C1864">
        <v>26</v>
      </c>
      <c r="D1864" t="s">
        <v>1447</v>
      </c>
      <c r="E1864" t="s">
        <v>1857</v>
      </c>
      <c r="F1864" t="s">
        <v>1741</v>
      </c>
      <c r="G1864" t="str">
        <f>IF(ISBLANK('Q 5'!H228),"",IF('Q 5'!H228="&lt;please select&gt;","",'Q 5'!H228))</f>
        <v>Pig iron / Scrap (C content)</v>
      </c>
    </row>
    <row r="1865" spans="1:7" x14ac:dyDescent="0.3">
      <c r="A1865" t="s">
        <v>1847</v>
      </c>
      <c r="B1865" t="s">
        <v>1855</v>
      </c>
      <c r="C1865">
        <v>27</v>
      </c>
      <c r="D1865" t="s">
        <v>1447</v>
      </c>
      <c r="E1865" t="s">
        <v>1857</v>
      </c>
      <c r="F1865" t="s">
        <v>1741</v>
      </c>
      <c r="G1865" t="str">
        <f>IF(ISBLANK('Q 5'!H229),"",IF('Q 5'!H229="&lt;please select&gt;","",'Q 5'!H229))</f>
        <v>BaCO3 (EF)</v>
      </c>
    </row>
    <row r="1866" spans="1:7" x14ac:dyDescent="0.3">
      <c r="A1866" t="s">
        <v>1847</v>
      </c>
      <c r="B1866" t="s">
        <v>1855</v>
      </c>
      <c r="C1866">
        <v>28</v>
      </c>
      <c r="D1866" t="s">
        <v>1447</v>
      </c>
      <c r="E1866" t="s">
        <v>1857</v>
      </c>
      <c r="F1866" t="s">
        <v>1741</v>
      </c>
      <c r="G1866" t="str">
        <f>IF(ISBLANK('Q 5'!H230),"",IF('Q 5'!H230="&lt;please select&gt;","",'Q 5'!H230))</f>
        <v>BaCO3 (EF)</v>
      </c>
    </row>
    <row r="1867" spans="1:7" x14ac:dyDescent="0.3">
      <c r="A1867" t="s">
        <v>1847</v>
      </c>
      <c r="B1867" t="s">
        <v>1855</v>
      </c>
      <c r="C1867">
        <v>29</v>
      </c>
      <c r="D1867" t="s">
        <v>1447</v>
      </c>
      <c r="E1867" t="s">
        <v>1857</v>
      </c>
      <c r="F1867" t="s">
        <v>1741</v>
      </c>
      <c r="G1867" t="str">
        <f>IF(ISBLANK('Q 5'!H231),"",IF('Q 5'!H231="&lt;please select&gt;","",'Q 5'!H231))</f>
        <v>FeCO3 (EF)</v>
      </c>
    </row>
    <row r="1868" spans="1:7" x14ac:dyDescent="0.3">
      <c r="A1868" t="s">
        <v>1847</v>
      </c>
      <c r="B1868" t="s">
        <v>1855</v>
      </c>
      <c r="C1868">
        <v>30</v>
      </c>
      <c r="D1868" t="s">
        <v>1447</v>
      </c>
      <c r="E1868" t="s">
        <v>1857</v>
      </c>
      <c r="F1868" t="s">
        <v>1741</v>
      </c>
      <c r="G1868" t="str">
        <f>IF(ISBLANK('Q 5'!H232),"",IF('Q 5'!H232="&lt;please select&gt;","",'Q 5'!H232))</f>
        <v>MnCO3 (EF)</v>
      </c>
    </row>
    <row r="1869" spans="1:7" x14ac:dyDescent="0.3">
      <c r="A1869" t="s">
        <v>1847</v>
      </c>
      <c r="B1869" t="s">
        <v>1855</v>
      </c>
      <c r="C1869">
        <v>31</v>
      </c>
      <c r="D1869" t="s">
        <v>1447</v>
      </c>
      <c r="E1869" t="s">
        <v>1857</v>
      </c>
      <c r="F1869" t="s">
        <v>1741</v>
      </c>
      <c r="G1869" t="str">
        <f>IF(ISBLANK('Q 5'!H233),"",IF('Q 5'!H233="&lt;please select&gt;","",'Q 5'!H233))</f>
        <v>Na2CO3 (EF)</v>
      </c>
    </row>
    <row r="1870" spans="1:7" x14ac:dyDescent="0.3">
      <c r="A1870" t="s">
        <v>1847</v>
      </c>
      <c r="B1870" t="s">
        <v>1855</v>
      </c>
      <c r="C1870">
        <v>32</v>
      </c>
      <c r="D1870" t="s">
        <v>1447</v>
      </c>
      <c r="E1870" t="s">
        <v>1857</v>
      </c>
      <c r="F1870" t="s">
        <v>1741</v>
      </c>
      <c r="G1870" t="str">
        <f>IF(ISBLANK('Q 5'!H234),"",IF('Q 5'!H234="&lt;please select&gt;","",'Q 5'!H234))</f>
        <v>Na2CO3 (EF)</v>
      </c>
    </row>
    <row r="1871" spans="1:7" x14ac:dyDescent="0.3">
      <c r="A1871" t="s">
        <v>1847</v>
      </c>
      <c r="B1871" t="s">
        <v>1855</v>
      </c>
      <c r="C1871">
        <v>33</v>
      </c>
      <c r="D1871" t="s">
        <v>1447</v>
      </c>
      <c r="E1871" t="s">
        <v>1857</v>
      </c>
      <c r="F1871" t="s">
        <v>1741</v>
      </c>
      <c r="G1871" t="str">
        <f>IF(ISBLANK('Q 5'!H235),"",IF('Q 5'!H235="&lt;please select&gt;","",'Q 5'!H235))</f>
        <v>CaCO3 (EF)</v>
      </c>
    </row>
    <row r="1872" spans="1:7" x14ac:dyDescent="0.3">
      <c r="A1872" t="s">
        <v>1847</v>
      </c>
      <c r="B1872" t="s">
        <v>1855</v>
      </c>
      <c r="C1872">
        <v>34</v>
      </c>
      <c r="D1872" t="s">
        <v>1447</v>
      </c>
      <c r="E1872" t="s">
        <v>1857</v>
      </c>
      <c r="F1872" t="s">
        <v>1741</v>
      </c>
      <c r="G1872" t="str">
        <f>IF(ISBLANK('Q 5'!H236),"",IF('Q 5'!H236="&lt;please select&gt;","",'Q 5'!H236))</f>
        <v>CaCO3 (EF)</v>
      </c>
    </row>
    <row r="1873" spans="1:7" x14ac:dyDescent="0.3">
      <c r="A1873" t="s">
        <v>1847</v>
      </c>
      <c r="B1873" t="s">
        <v>1855</v>
      </c>
      <c r="C1873">
        <v>35</v>
      </c>
      <c r="D1873" t="s">
        <v>1447</v>
      </c>
      <c r="E1873" t="s">
        <v>1857</v>
      </c>
      <c r="F1873" t="s">
        <v>1741</v>
      </c>
      <c r="G1873" t="str">
        <f>IF(ISBLANK('Q 5'!H237),"",IF('Q 5'!H237="&lt;please select&gt;","",'Q 5'!H237))</f>
        <v>CaCO3 (EF)</v>
      </c>
    </row>
    <row r="1874" spans="1:7" x14ac:dyDescent="0.3">
      <c r="A1874" t="s">
        <v>1847</v>
      </c>
      <c r="B1874" t="s">
        <v>1855</v>
      </c>
      <c r="C1874">
        <v>36</v>
      </c>
      <c r="D1874" t="s">
        <v>1447</v>
      </c>
      <c r="E1874" t="s">
        <v>1857</v>
      </c>
      <c r="F1874" t="s">
        <v>1741</v>
      </c>
      <c r="G1874" t="str">
        <f>IF(ISBLANK('Q 5'!H238),"",IF('Q 5'!H238="&lt;please select&gt;","",'Q 5'!H238))</f>
        <v>CaCO3 (EF)</v>
      </c>
    </row>
    <row r="1875" spans="1:7" x14ac:dyDescent="0.3">
      <c r="A1875" t="s">
        <v>1847</v>
      </c>
      <c r="B1875" t="s">
        <v>1855</v>
      </c>
      <c r="C1875">
        <v>37</v>
      </c>
      <c r="D1875" t="s">
        <v>1447</v>
      </c>
      <c r="E1875" t="s">
        <v>1857</v>
      </c>
      <c r="F1875" t="s">
        <v>1741</v>
      </c>
      <c r="G1875" t="str">
        <f>IF(ISBLANK('Q 5'!H239),"",IF('Q 5'!H239="&lt;please select&gt;","",'Q 5'!H239))</f>
        <v>MgCO3 (EF)</v>
      </c>
    </row>
    <row r="1876" spans="1:7" x14ac:dyDescent="0.3">
      <c r="A1876" t="s">
        <v>1847</v>
      </c>
      <c r="B1876" t="s">
        <v>1855</v>
      </c>
      <c r="C1876">
        <v>38</v>
      </c>
      <c r="D1876" t="s">
        <v>1447</v>
      </c>
      <c r="E1876" t="s">
        <v>1857</v>
      </c>
      <c r="F1876" t="s">
        <v>1741</v>
      </c>
      <c r="G1876" t="str">
        <f>IF(ISBLANK('Q 5'!H240),"",IF('Q 5'!H240="&lt;please select&gt;","",'Q 5'!H240))</f>
        <v>MgCO3 (EF)</v>
      </c>
    </row>
    <row r="1877" spans="1:7" x14ac:dyDescent="0.3">
      <c r="A1877" t="s">
        <v>1847</v>
      </c>
      <c r="B1877" t="s">
        <v>1855</v>
      </c>
      <c r="C1877">
        <v>39</v>
      </c>
      <c r="D1877" t="s">
        <v>1447</v>
      </c>
      <c r="E1877" t="s">
        <v>1857</v>
      </c>
      <c r="F1877" t="s">
        <v>1741</v>
      </c>
      <c r="G1877" t="str">
        <f>IF(ISBLANK('Q 5'!H241),"",IF('Q 5'!H241="&lt;please select&gt;","",'Q 5'!H241))</f>
        <v>MgCO3 (EF)</v>
      </c>
    </row>
    <row r="1878" spans="1:7" x14ac:dyDescent="0.3">
      <c r="A1878" t="s">
        <v>1847</v>
      </c>
      <c r="B1878" t="s">
        <v>1855</v>
      </c>
      <c r="C1878">
        <v>40</v>
      </c>
      <c r="D1878" t="s">
        <v>1447</v>
      </c>
      <c r="E1878" t="s">
        <v>1857</v>
      </c>
      <c r="F1878" t="s">
        <v>1741</v>
      </c>
      <c r="G1878" t="str">
        <f>IF(ISBLANK('Q 5'!H242),"",IF('Q 5'!H242="&lt;please select&gt;","",'Q 5'!H242))</f>
        <v>Li2CO3 (EF)</v>
      </c>
    </row>
    <row r="1879" spans="1:7" x14ac:dyDescent="0.3">
      <c r="A1879" t="s">
        <v>1847</v>
      </c>
      <c r="B1879" t="s">
        <v>1855</v>
      </c>
      <c r="C1879">
        <v>41</v>
      </c>
      <c r="D1879" t="s">
        <v>1447</v>
      </c>
      <c r="E1879" t="s">
        <v>1857</v>
      </c>
      <c r="F1879" t="s">
        <v>1741</v>
      </c>
      <c r="G1879" t="str">
        <f>IF(ISBLANK('Q 5'!H243),"",IF('Q 5'!H243="&lt;please select&gt;","",'Q 5'!H243))</f>
        <v>Li2CO3 (EF)</v>
      </c>
    </row>
    <row r="1880" spans="1:7" x14ac:dyDescent="0.3">
      <c r="A1880" t="s">
        <v>1847</v>
      </c>
      <c r="B1880" t="s">
        <v>1855</v>
      </c>
      <c r="C1880">
        <v>42</v>
      </c>
      <c r="D1880" t="s">
        <v>1447</v>
      </c>
      <c r="E1880" t="s">
        <v>1857</v>
      </c>
      <c r="F1880" t="s">
        <v>1741</v>
      </c>
      <c r="G1880" t="str">
        <f>IF(ISBLANK('Q 5'!H244),"",IF('Q 5'!H244="&lt;please select&gt;","",'Q 5'!H244))</f>
        <v>LPG / Propane-Butane (NCV+EF)</v>
      </c>
    </row>
    <row r="1881" spans="1:7" x14ac:dyDescent="0.3">
      <c r="A1881" t="s">
        <v>1847</v>
      </c>
      <c r="B1881" t="s">
        <v>1855</v>
      </c>
      <c r="C1881">
        <v>43</v>
      </c>
      <c r="D1881" t="s">
        <v>1447</v>
      </c>
      <c r="E1881" t="s">
        <v>1857</v>
      </c>
      <c r="F1881" t="s">
        <v>1741</v>
      </c>
      <c r="G1881" t="str">
        <f>IF(ISBLANK('Q 5'!H245),"",IF('Q 5'!H245="&lt;please select&gt;","",'Q 5'!H245))</f>
        <v>LPG / Propane-Nutane (NCV+EF)</v>
      </c>
    </row>
    <row r="1882" spans="1:7" x14ac:dyDescent="0.3">
      <c r="A1882" t="s">
        <v>1847</v>
      </c>
      <c r="B1882" t="s">
        <v>1855</v>
      </c>
      <c r="C1882">
        <v>44</v>
      </c>
      <c r="D1882" t="s">
        <v>1447</v>
      </c>
      <c r="E1882" t="s">
        <v>1857</v>
      </c>
      <c r="F1882" t="s">
        <v>1741</v>
      </c>
      <c r="G1882" t="str">
        <f>IF(ISBLANK('Q 5'!H246),"",IF('Q 5'!H246="&lt;please select&gt;","",'Q 5'!H246))</f>
        <v>Graphite electrodes (C content)</v>
      </c>
    </row>
    <row r="1883" spans="1:7" x14ac:dyDescent="0.3">
      <c r="A1883" t="s">
        <v>1847</v>
      </c>
      <c r="B1883" t="s">
        <v>1855</v>
      </c>
      <c r="C1883">
        <v>45</v>
      </c>
      <c r="D1883" t="s">
        <v>1447</v>
      </c>
      <c r="E1883" t="s">
        <v>1857</v>
      </c>
      <c r="F1883" t="s">
        <v>1741</v>
      </c>
      <c r="G1883" t="str">
        <f>IF(ISBLANK('Q 5'!H247),"",IF('Q 5'!H247="&lt;please select&gt;","",'Q 5'!H247))</f>
        <v>Graphite electrodes (C content)</v>
      </c>
    </row>
    <row r="1884" spans="1:7" x14ac:dyDescent="0.3">
      <c r="A1884" t="s">
        <v>1847</v>
      </c>
      <c r="B1884" t="s">
        <v>1855</v>
      </c>
      <c r="C1884">
        <v>46</v>
      </c>
      <c r="D1884" t="s">
        <v>1447</v>
      </c>
      <c r="E1884" t="s">
        <v>1857</v>
      </c>
      <c r="F1884" t="s">
        <v>1741</v>
      </c>
      <c r="G1884" t="str">
        <f>IF(ISBLANK('Q 5'!H248),"",IF('Q 5'!H248="&lt;please select&gt;","",'Q 5'!H248))</f>
        <v/>
      </c>
    </row>
    <row r="1885" spans="1:7" x14ac:dyDescent="0.3">
      <c r="A1885" t="s">
        <v>1847</v>
      </c>
      <c r="B1885" t="s">
        <v>1855</v>
      </c>
      <c r="C1885">
        <v>47</v>
      </c>
      <c r="D1885" t="s">
        <v>1447</v>
      </c>
      <c r="E1885" t="s">
        <v>1857</v>
      </c>
      <c r="F1885" t="s">
        <v>1741</v>
      </c>
      <c r="G1885" t="str">
        <f>IF(ISBLANK('Q 5'!H249),"",IF('Q 5'!H249="&lt;please select&gt;","",'Q 5'!H249))</f>
        <v/>
      </c>
    </row>
    <row r="1886" spans="1:7" x14ac:dyDescent="0.3">
      <c r="A1886" t="s">
        <v>1847</v>
      </c>
      <c r="B1886" t="s">
        <v>1855</v>
      </c>
      <c r="C1886">
        <v>48</v>
      </c>
      <c r="D1886" t="s">
        <v>1447</v>
      </c>
      <c r="E1886" t="s">
        <v>1857</v>
      </c>
      <c r="F1886" t="s">
        <v>1741</v>
      </c>
      <c r="G1886" t="str">
        <f>IF(ISBLANK('Q 5'!H250),"",IF('Q 5'!H250="&lt;please select&gt;","",'Q 5'!H250))</f>
        <v/>
      </c>
    </row>
    <row r="1887" spans="1:7" x14ac:dyDescent="0.3">
      <c r="A1887" t="s">
        <v>1847</v>
      </c>
      <c r="B1887" t="s">
        <v>1855</v>
      </c>
      <c r="C1887">
        <v>49</v>
      </c>
      <c r="D1887" t="s">
        <v>1447</v>
      </c>
      <c r="E1887" t="s">
        <v>1857</v>
      </c>
      <c r="F1887" t="s">
        <v>1741</v>
      </c>
      <c r="G1887" t="str">
        <f>IF(ISBLANK('Q 5'!H251),"",IF('Q 5'!H251="&lt;please select&gt;","",'Q 5'!H251))</f>
        <v/>
      </c>
    </row>
    <row r="1888" spans="1:7" x14ac:dyDescent="0.3">
      <c r="A1888" t="s">
        <v>1847</v>
      </c>
      <c r="B1888" t="s">
        <v>1855</v>
      </c>
      <c r="C1888">
        <v>50</v>
      </c>
      <c r="D1888" t="s">
        <v>1447</v>
      </c>
      <c r="E1888" t="s">
        <v>1857</v>
      </c>
      <c r="F1888" t="s">
        <v>1741</v>
      </c>
      <c r="G1888" t="str">
        <f>IF(ISBLANK('Q 5'!H252),"",IF('Q 5'!H252="&lt;please select&gt;","",'Q 5'!H252))</f>
        <v/>
      </c>
    </row>
    <row r="1889" spans="1:7" x14ac:dyDescent="0.3">
      <c r="A1889" t="s">
        <v>1847</v>
      </c>
      <c r="B1889" t="s">
        <v>1855</v>
      </c>
      <c r="C1889">
        <v>51</v>
      </c>
      <c r="D1889" t="s">
        <v>1447</v>
      </c>
      <c r="E1889" t="s">
        <v>1857</v>
      </c>
      <c r="F1889" t="s">
        <v>1741</v>
      </c>
      <c r="G1889" t="str">
        <f>IF(ISBLANK('Q 5'!H253),"",IF('Q 5'!H253="&lt;please select&gt;","",'Q 5'!H253))</f>
        <v/>
      </c>
    </row>
    <row r="1890" spans="1:7" x14ac:dyDescent="0.3">
      <c r="A1890" t="s">
        <v>1847</v>
      </c>
      <c r="B1890" t="s">
        <v>1855</v>
      </c>
      <c r="C1890">
        <v>52</v>
      </c>
      <c r="D1890" t="s">
        <v>1447</v>
      </c>
      <c r="E1890" t="s">
        <v>1857</v>
      </c>
      <c r="F1890" t="s">
        <v>1741</v>
      </c>
      <c r="G1890" t="str">
        <f>IF(ISBLANK('Q 5'!H254),"",IF('Q 5'!H254="&lt;please select&gt;","",'Q 5'!H254))</f>
        <v/>
      </c>
    </row>
    <row r="1891" spans="1:7" x14ac:dyDescent="0.3">
      <c r="A1891" t="s">
        <v>1847</v>
      </c>
      <c r="B1891" t="s">
        <v>1855</v>
      </c>
      <c r="C1891">
        <v>53</v>
      </c>
      <c r="D1891" t="s">
        <v>1447</v>
      </c>
      <c r="E1891" t="s">
        <v>1857</v>
      </c>
      <c r="F1891" t="s">
        <v>1741</v>
      </c>
      <c r="G1891" t="str">
        <f>IF(ISBLANK('Q 5'!H255),"",IF('Q 5'!H255="&lt;please select&gt;","",'Q 5'!H255))</f>
        <v/>
      </c>
    </row>
    <row r="1892" spans="1:7" x14ac:dyDescent="0.3">
      <c r="A1892" t="s">
        <v>1847</v>
      </c>
      <c r="B1892" t="s">
        <v>1855</v>
      </c>
      <c r="C1892">
        <v>54</v>
      </c>
      <c r="D1892" t="s">
        <v>1447</v>
      </c>
      <c r="E1892" t="s">
        <v>1857</v>
      </c>
      <c r="F1892" t="s">
        <v>1741</v>
      </c>
      <c r="G1892" t="str">
        <f>IF(ISBLANK('Q 5'!H256),"",IF('Q 5'!H256="&lt;please select&gt;","",'Q 5'!H256))</f>
        <v/>
      </c>
    </row>
    <row r="1893" spans="1:7" x14ac:dyDescent="0.3">
      <c r="A1893" t="s">
        <v>1847</v>
      </c>
      <c r="B1893" t="s">
        <v>1855</v>
      </c>
      <c r="C1893">
        <v>55</v>
      </c>
      <c r="D1893" t="s">
        <v>1447</v>
      </c>
      <c r="E1893" t="s">
        <v>1857</v>
      </c>
      <c r="F1893" t="s">
        <v>1741</v>
      </c>
      <c r="G1893" t="str">
        <f>IF(ISBLANK('Q 5'!H257),"",IF('Q 5'!H257="&lt;please select&gt;","",'Q 5'!H257))</f>
        <v/>
      </c>
    </row>
    <row r="1894" spans="1:7" x14ac:dyDescent="0.3">
      <c r="A1894" t="s">
        <v>1847</v>
      </c>
      <c r="B1894" t="s">
        <v>1855</v>
      </c>
      <c r="C1894">
        <v>56</v>
      </c>
      <c r="D1894" t="s">
        <v>1447</v>
      </c>
      <c r="E1894" t="s">
        <v>1857</v>
      </c>
      <c r="F1894" t="s">
        <v>1741</v>
      </c>
      <c r="G1894" t="str">
        <f>IF(ISBLANK('Q 5'!H258),"",IF('Q 5'!H258="&lt;please select&gt;","",'Q 5'!H258))</f>
        <v/>
      </c>
    </row>
    <row r="1895" spans="1:7" x14ac:dyDescent="0.3">
      <c r="A1895" t="s">
        <v>1847</v>
      </c>
      <c r="B1895" t="s">
        <v>1855</v>
      </c>
      <c r="C1895">
        <v>57</v>
      </c>
      <c r="D1895" t="s">
        <v>1447</v>
      </c>
      <c r="E1895" t="s">
        <v>1857</v>
      </c>
      <c r="F1895" t="s">
        <v>1741</v>
      </c>
      <c r="G1895" t="str">
        <f>IF(ISBLANK('Q 5'!H259),"",IF('Q 5'!H259="&lt;please select&gt;","",'Q 5'!H259))</f>
        <v/>
      </c>
    </row>
    <row r="1896" spans="1:7" x14ac:dyDescent="0.3">
      <c r="A1896" t="s">
        <v>1847</v>
      </c>
      <c r="B1896" t="s">
        <v>1855</v>
      </c>
      <c r="C1896">
        <v>58</v>
      </c>
      <c r="D1896" t="s">
        <v>1447</v>
      </c>
      <c r="E1896" t="s">
        <v>1857</v>
      </c>
      <c r="F1896" t="s">
        <v>1741</v>
      </c>
      <c r="G1896" t="str">
        <f>IF(ISBLANK('Q 5'!H260),"",IF('Q 5'!H260="&lt;please select&gt;","",'Q 5'!H260))</f>
        <v/>
      </c>
    </row>
    <row r="1897" spans="1:7" x14ac:dyDescent="0.3">
      <c r="A1897" t="s">
        <v>1847</v>
      </c>
      <c r="B1897" t="s">
        <v>1855</v>
      </c>
      <c r="C1897">
        <v>59</v>
      </c>
      <c r="D1897" t="s">
        <v>1447</v>
      </c>
      <c r="E1897" t="s">
        <v>1857</v>
      </c>
      <c r="F1897" t="s">
        <v>1741</v>
      </c>
      <c r="G1897" t="str">
        <f>IF(ISBLANK('Q 5'!H261),"",IF('Q 5'!H261="&lt;please select&gt;","",'Q 5'!H261))</f>
        <v/>
      </c>
    </row>
    <row r="1898" spans="1:7" x14ac:dyDescent="0.3">
      <c r="A1898" t="s">
        <v>1847</v>
      </c>
      <c r="B1898" t="s">
        <v>1855</v>
      </c>
      <c r="C1898">
        <v>60</v>
      </c>
      <c r="D1898" t="s">
        <v>1447</v>
      </c>
      <c r="E1898" t="s">
        <v>1857</v>
      </c>
      <c r="F1898" t="s">
        <v>1741</v>
      </c>
      <c r="G1898" t="str">
        <f>IF(ISBLANK('Q 5'!H262),"",IF('Q 5'!H262="&lt;please select&gt;","",'Q 5'!H262))</f>
        <v/>
      </c>
    </row>
    <row r="1899" spans="1:7" x14ac:dyDescent="0.3">
      <c r="A1899" t="s">
        <v>1847</v>
      </c>
      <c r="B1899" t="s">
        <v>1855</v>
      </c>
      <c r="C1899">
        <v>61</v>
      </c>
      <c r="D1899" t="s">
        <v>1447</v>
      </c>
      <c r="E1899" t="s">
        <v>1857</v>
      </c>
      <c r="F1899" t="s">
        <v>1741</v>
      </c>
      <c r="G1899" t="str">
        <f>IF(ISBLANK('Q 5'!H263),"",IF('Q 5'!H263="&lt;please select&gt;","",'Q 5'!H263))</f>
        <v/>
      </c>
    </row>
    <row r="1900" spans="1:7" x14ac:dyDescent="0.3">
      <c r="A1900" t="s">
        <v>1847</v>
      </c>
      <c r="B1900" t="s">
        <v>1855</v>
      </c>
      <c r="C1900">
        <v>62</v>
      </c>
      <c r="D1900" t="s">
        <v>1447</v>
      </c>
      <c r="E1900" t="s">
        <v>1857</v>
      </c>
      <c r="F1900" t="s">
        <v>1741</v>
      </c>
      <c r="G1900" t="str">
        <f>IF(ISBLANK('Q 5'!H264),"",IF('Q 5'!H264="&lt;please select&gt;","",'Q 5'!H264))</f>
        <v/>
      </c>
    </row>
    <row r="1901" spans="1:7" x14ac:dyDescent="0.3">
      <c r="A1901" t="s">
        <v>1847</v>
      </c>
      <c r="B1901" t="s">
        <v>1855</v>
      </c>
      <c r="C1901">
        <v>63</v>
      </c>
      <c r="D1901" t="s">
        <v>1447</v>
      </c>
      <c r="E1901" t="s">
        <v>1857</v>
      </c>
      <c r="F1901" t="s">
        <v>1741</v>
      </c>
      <c r="G1901" t="str">
        <f>IF(ISBLANK('Q 5'!H265),"",IF('Q 5'!H265="&lt;please select&gt;","",'Q 5'!H265))</f>
        <v/>
      </c>
    </row>
    <row r="1902" spans="1:7" x14ac:dyDescent="0.3">
      <c r="A1902" t="s">
        <v>1847</v>
      </c>
      <c r="B1902" t="s">
        <v>1855</v>
      </c>
      <c r="C1902">
        <v>64</v>
      </c>
      <c r="D1902" t="s">
        <v>1447</v>
      </c>
      <c r="E1902" t="s">
        <v>1857</v>
      </c>
      <c r="F1902" t="s">
        <v>1741</v>
      </c>
      <c r="G1902" t="str">
        <f>IF(ISBLANK('Q 5'!H266),"",IF('Q 5'!H266="&lt;please select&gt;","",'Q 5'!H266))</f>
        <v/>
      </c>
    </row>
    <row r="1903" spans="1:7" x14ac:dyDescent="0.3">
      <c r="A1903" t="s">
        <v>1847</v>
      </c>
      <c r="B1903" t="s">
        <v>1855</v>
      </c>
      <c r="C1903">
        <v>65</v>
      </c>
      <c r="D1903" t="s">
        <v>1447</v>
      </c>
      <c r="E1903" t="s">
        <v>1857</v>
      </c>
      <c r="F1903" t="s">
        <v>1741</v>
      </c>
      <c r="G1903" t="str">
        <f>IF(ISBLANK('Q 5'!H267),"",IF('Q 5'!H267="&lt;please select&gt;","",'Q 5'!H267))</f>
        <v/>
      </c>
    </row>
    <row r="1904" spans="1:7" x14ac:dyDescent="0.3">
      <c r="A1904" t="s">
        <v>1847</v>
      </c>
      <c r="B1904" t="s">
        <v>1855</v>
      </c>
      <c r="C1904">
        <v>66</v>
      </c>
      <c r="D1904" t="s">
        <v>1447</v>
      </c>
      <c r="E1904" t="s">
        <v>1857</v>
      </c>
      <c r="F1904" t="s">
        <v>1741</v>
      </c>
      <c r="G1904" t="str">
        <f>IF(ISBLANK('Q 5'!H268),"",IF('Q 5'!H268="&lt;please select&gt;","",'Q 5'!H268))</f>
        <v/>
      </c>
    </row>
    <row r="1905" spans="1:7" x14ac:dyDescent="0.3">
      <c r="A1905" t="s">
        <v>1847</v>
      </c>
      <c r="B1905" t="s">
        <v>1855</v>
      </c>
      <c r="C1905">
        <v>67</v>
      </c>
      <c r="D1905" t="s">
        <v>1447</v>
      </c>
      <c r="E1905" t="s">
        <v>1857</v>
      </c>
      <c r="F1905" t="s">
        <v>1741</v>
      </c>
      <c r="G1905" t="str">
        <f>IF(ISBLANK('Q 5'!H269),"",IF('Q 5'!H269="&lt;please select&gt;","",'Q 5'!H269))</f>
        <v/>
      </c>
    </row>
    <row r="1906" spans="1:7" x14ac:dyDescent="0.3">
      <c r="A1906" t="s">
        <v>1847</v>
      </c>
      <c r="B1906" t="s">
        <v>1855</v>
      </c>
      <c r="C1906">
        <v>68</v>
      </c>
      <c r="D1906" t="s">
        <v>1447</v>
      </c>
      <c r="E1906" t="s">
        <v>1857</v>
      </c>
      <c r="F1906" t="s">
        <v>1741</v>
      </c>
      <c r="G1906" t="str">
        <f>IF(ISBLANK('Q 5'!H270),"",IF('Q 5'!H270="&lt;please select&gt;","",'Q 5'!H270))</f>
        <v/>
      </c>
    </row>
    <row r="1907" spans="1:7" x14ac:dyDescent="0.3">
      <c r="A1907" t="s">
        <v>1847</v>
      </c>
      <c r="B1907" t="s">
        <v>1855</v>
      </c>
      <c r="C1907">
        <v>69</v>
      </c>
      <c r="D1907" t="s">
        <v>1447</v>
      </c>
      <c r="E1907" t="s">
        <v>1857</v>
      </c>
      <c r="F1907" t="s">
        <v>1741</v>
      </c>
      <c r="G1907" t="str">
        <f>IF(ISBLANK('Q 5'!H271),"",IF('Q 5'!H271="&lt;please select&gt;","",'Q 5'!H271))</f>
        <v/>
      </c>
    </row>
    <row r="1908" spans="1:7" x14ac:dyDescent="0.3">
      <c r="A1908" t="s">
        <v>1847</v>
      </c>
      <c r="B1908" t="s">
        <v>1855</v>
      </c>
      <c r="C1908">
        <v>70</v>
      </c>
      <c r="D1908" t="s">
        <v>1447</v>
      </c>
      <c r="E1908" t="s">
        <v>1857</v>
      </c>
      <c r="F1908" t="s">
        <v>1741</v>
      </c>
      <c r="G1908" t="str">
        <f>IF(ISBLANK('Q 5'!H272),"",IF('Q 5'!H272="&lt;please select&gt;","",'Q 5'!H272))</f>
        <v/>
      </c>
    </row>
    <row r="1909" spans="1:7" x14ac:dyDescent="0.3">
      <c r="A1909" t="s">
        <v>1847</v>
      </c>
      <c r="B1909" t="s">
        <v>1855</v>
      </c>
      <c r="C1909">
        <v>71</v>
      </c>
      <c r="D1909" t="s">
        <v>1447</v>
      </c>
      <c r="E1909" t="s">
        <v>1857</v>
      </c>
      <c r="F1909" t="s">
        <v>1741</v>
      </c>
      <c r="G1909" t="str">
        <f>IF(ISBLANK('Q 5'!H273),"",IF('Q 5'!H273="&lt;please select&gt;","",'Q 5'!H273))</f>
        <v/>
      </c>
    </row>
    <row r="1910" spans="1:7" x14ac:dyDescent="0.3">
      <c r="A1910" t="s">
        <v>1847</v>
      </c>
      <c r="B1910" t="s">
        <v>1855</v>
      </c>
      <c r="C1910">
        <v>72</v>
      </c>
      <c r="D1910" t="s">
        <v>1447</v>
      </c>
      <c r="E1910" t="s">
        <v>1857</v>
      </c>
      <c r="F1910" t="s">
        <v>1741</v>
      </c>
      <c r="G1910" t="str">
        <f>IF(ISBLANK('Q 5'!H274),"",IF('Q 5'!H274="&lt;please select&gt;","",'Q 5'!H274))</f>
        <v/>
      </c>
    </row>
    <row r="1911" spans="1:7" x14ac:dyDescent="0.3">
      <c r="A1911" t="s">
        <v>1847</v>
      </c>
      <c r="B1911" t="s">
        <v>1855</v>
      </c>
      <c r="C1911">
        <v>73</v>
      </c>
      <c r="D1911" t="s">
        <v>1447</v>
      </c>
      <c r="E1911" t="s">
        <v>1857</v>
      </c>
      <c r="F1911" t="s">
        <v>1741</v>
      </c>
      <c r="G1911" t="str">
        <f>IF(ISBLANK('Q 5'!H275),"",IF('Q 5'!H275="&lt;please select&gt;","",'Q 5'!H275))</f>
        <v/>
      </c>
    </row>
    <row r="1912" spans="1:7" x14ac:dyDescent="0.3">
      <c r="A1912" t="s">
        <v>1847</v>
      </c>
      <c r="B1912" t="s">
        <v>1855</v>
      </c>
      <c r="C1912">
        <v>74</v>
      </c>
      <c r="D1912" t="s">
        <v>1447</v>
      </c>
      <c r="E1912" t="s">
        <v>1857</v>
      </c>
      <c r="F1912" t="s">
        <v>1741</v>
      </c>
      <c r="G1912" t="str">
        <f>IF(ISBLANK('Q 5'!H276),"",IF('Q 5'!H276="&lt;please select&gt;","",'Q 5'!H276))</f>
        <v/>
      </c>
    </row>
    <row r="1913" spans="1:7" x14ac:dyDescent="0.3">
      <c r="A1913" t="s">
        <v>1847</v>
      </c>
      <c r="B1913" t="s">
        <v>1855</v>
      </c>
      <c r="C1913">
        <v>75</v>
      </c>
      <c r="D1913" t="s">
        <v>1447</v>
      </c>
      <c r="E1913" t="s">
        <v>1857</v>
      </c>
      <c r="F1913" t="s">
        <v>1741</v>
      </c>
      <c r="G1913" t="str">
        <f>IF(ISBLANK('Q 5'!H277),"",IF('Q 5'!H277="&lt;please select&gt;","",'Q 5'!H277))</f>
        <v/>
      </c>
    </row>
    <row r="1914" spans="1:7" x14ac:dyDescent="0.3">
      <c r="A1914" t="s">
        <v>1847</v>
      </c>
      <c r="B1914" t="s">
        <v>1855</v>
      </c>
      <c r="C1914">
        <v>76</v>
      </c>
      <c r="D1914" t="s">
        <v>1447</v>
      </c>
      <c r="E1914" t="s">
        <v>1857</v>
      </c>
      <c r="F1914" t="s">
        <v>1741</v>
      </c>
      <c r="G1914" t="str">
        <f>IF(ISBLANK('Q 5'!H278),"",IF('Q 5'!H278="&lt;please select&gt;","",'Q 5'!H278))</f>
        <v/>
      </c>
    </row>
    <row r="1915" spans="1:7" x14ac:dyDescent="0.3">
      <c r="A1915" t="s">
        <v>1847</v>
      </c>
      <c r="B1915" t="s">
        <v>1855</v>
      </c>
      <c r="C1915">
        <v>77</v>
      </c>
      <c r="D1915" t="s">
        <v>1447</v>
      </c>
      <c r="E1915" t="s">
        <v>1857</v>
      </c>
      <c r="F1915" t="s">
        <v>1741</v>
      </c>
      <c r="G1915" t="str">
        <f>IF(ISBLANK('Q 5'!H279),"",IF('Q 5'!H279="&lt;please select&gt;","",'Q 5'!H279))</f>
        <v/>
      </c>
    </row>
    <row r="1916" spans="1:7" x14ac:dyDescent="0.3">
      <c r="A1916" t="s">
        <v>1847</v>
      </c>
      <c r="B1916" t="s">
        <v>1855</v>
      </c>
      <c r="C1916">
        <v>78</v>
      </c>
      <c r="D1916" t="s">
        <v>1447</v>
      </c>
      <c r="E1916" t="s">
        <v>1857</v>
      </c>
      <c r="F1916" t="s">
        <v>1741</v>
      </c>
      <c r="G1916" t="str">
        <f>IF(ISBLANK('Q 5'!H280),"",IF('Q 5'!H280="&lt;please select&gt;","",'Q 5'!H280))</f>
        <v/>
      </c>
    </row>
    <row r="1917" spans="1:7" x14ac:dyDescent="0.3">
      <c r="A1917" t="s">
        <v>1847</v>
      </c>
      <c r="B1917" t="s">
        <v>1855</v>
      </c>
      <c r="C1917">
        <v>79</v>
      </c>
      <c r="D1917" t="s">
        <v>1447</v>
      </c>
      <c r="E1917" t="s">
        <v>1857</v>
      </c>
      <c r="F1917" t="s">
        <v>1741</v>
      </c>
      <c r="G1917" t="str">
        <f>IF(ISBLANK('Q 5'!H281),"",IF('Q 5'!H281="&lt;please select&gt;","",'Q 5'!H281))</f>
        <v/>
      </c>
    </row>
    <row r="1918" spans="1:7" x14ac:dyDescent="0.3">
      <c r="A1918" t="s">
        <v>1847</v>
      </c>
      <c r="B1918" t="s">
        <v>1855</v>
      </c>
      <c r="C1918">
        <v>80</v>
      </c>
      <c r="D1918" t="s">
        <v>1447</v>
      </c>
      <c r="E1918" t="s">
        <v>1857</v>
      </c>
      <c r="F1918" t="s">
        <v>1741</v>
      </c>
      <c r="G1918" t="str">
        <f>IF(ISBLANK('Q 5'!H282),"",IF('Q 5'!H282="&lt;please select&gt;","",'Q 5'!H282))</f>
        <v/>
      </c>
    </row>
    <row r="1919" spans="1:7" x14ac:dyDescent="0.3">
      <c r="A1919" t="s">
        <v>1847</v>
      </c>
      <c r="B1919" t="s">
        <v>1855</v>
      </c>
      <c r="C1919">
        <v>81</v>
      </c>
      <c r="D1919" t="s">
        <v>1447</v>
      </c>
      <c r="E1919" t="s">
        <v>1857</v>
      </c>
      <c r="F1919" t="s">
        <v>1741</v>
      </c>
      <c r="G1919" t="str">
        <f>IF(ISBLANK('Q 5'!H283),"",IF('Q 5'!H283="&lt;please select&gt;","",'Q 5'!H283))</f>
        <v/>
      </c>
    </row>
    <row r="1920" spans="1:7" x14ac:dyDescent="0.3">
      <c r="A1920" t="s">
        <v>1847</v>
      </c>
      <c r="B1920" t="s">
        <v>1855</v>
      </c>
      <c r="C1920">
        <v>82</v>
      </c>
      <c r="D1920" t="s">
        <v>1447</v>
      </c>
      <c r="E1920" t="s">
        <v>1857</v>
      </c>
      <c r="F1920" t="s">
        <v>1741</v>
      </c>
      <c r="G1920" t="str">
        <f>IF(ISBLANK('Q 5'!H284),"",IF('Q 5'!H284="&lt;please select&gt;","",'Q 5'!H284))</f>
        <v/>
      </c>
    </row>
    <row r="1921" spans="1:7" x14ac:dyDescent="0.3">
      <c r="A1921" t="s">
        <v>1847</v>
      </c>
      <c r="B1921" t="s">
        <v>1855</v>
      </c>
      <c r="C1921">
        <v>83</v>
      </c>
      <c r="D1921" t="s">
        <v>1447</v>
      </c>
      <c r="E1921" t="s">
        <v>1857</v>
      </c>
      <c r="F1921" t="s">
        <v>1741</v>
      </c>
      <c r="G1921" t="str">
        <f>IF(ISBLANK('Q 5'!H285),"",IF('Q 5'!H285="&lt;please select&gt;","",'Q 5'!H285))</f>
        <v/>
      </c>
    </row>
    <row r="1922" spans="1:7" x14ac:dyDescent="0.3">
      <c r="A1922" t="s">
        <v>1847</v>
      </c>
      <c r="B1922" t="s">
        <v>1855</v>
      </c>
      <c r="C1922">
        <v>84</v>
      </c>
      <c r="D1922" t="s">
        <v>1447</v>
      </c>
      <c r="E1922" t="s">
        <v>1857</v>
      </c>
      <c r="F1922" t="s">
        <v>1741</v>
      </c>
      <c r="G1922" t="str">
        <f>IF(ISBLANK('Q 5'!H286),"",IF('Q 5'!H286="&lt;please select&gt;","",'Q 5'!H286))</f>
        <v/>
      </c>
    </row>
    <row r="1923" spans="1:7" x14ac:dyDescent="0.3">
      <c r="A1923" t="s">
        <v>1847</v>
      </c>
      <c r="B1923" t="s">
        <v>1855</v>
      </c>
      <c r="C1923">
        <v>85</v>
      </c>
      <c r="D1923" t="s">
        <v>1447</v>
      </c>
      <c r="E1923" t="s">
        <v>1857</v>
      </c>
      <c r="F1923" t="s">
        <v>1741</v>
      </c>
      <c r="G1923" t="str">
        <f>IF(ISBLANK('Q 5'!H287),"",IF('Q 5'!H287="&lt;please select&gt;","",'Q 5'!H287))</f>
        <v/>
      </c>
    </row>
    <row r="1924" spans="1:7" x14ac:dyDescent="0.3">
      <c r="A1924" t="s">
        <v>1847</v>
      </c>
      <c r="B1924" t="s">
        <v>1855</v>
      </c>
      <c r="C1924">
        <v>86</v>
      </c>
      <c r="D1924" t="s">
        <v>1447</v>
      </c>
      <c r="E1924" t="s">
        <v>1857</v>
      </c>
      <c r="F1924" t="s">
        <v>1741</v>
      </c>
      <c r="G1924" t="str">
        <f>IF(ISBLANK('Q 5'!H288),"",IF('Q 5'!H288="&lt;please select&gt;","",'Q 5'!H288))</f>
        <v/>
      </c>
    </row>
    <row r="1925" spans="1:7" x14ac:dyDescent="0.3">
      <c r="A1925" t="s">
        <v>1847</v>
      </c>
      <c r="B1925" t="s">
        <v>1855</v>
      </c>
      <c r="C1925">
        <v>87</v>
      </c>
      <c r="D1925" t="s">
        <v>1447</v>
      </c>
      <c r="E1925" t="s">
        <v>1857</v>
      </c>
      <c r="F1925" t="s">
        <v>1741</v>
      </c>
      <c r="G1925" t="str">
        <f>IF(ISBLANK('Q 5'!H289),"",IF('Q 5'!H289="&lt;please select&gt;","",'Q 5'!H289))</f>
        <v/>
      </c>
    </row>
    <row r="1926" spans="1:7" x14ac:dyDescent="0.3">
      <c r="A1926" t="s">
        <v>1847</v>
      </c>
      <c r="B1926" t="s">
        <v>1855</v>
      </c>
      <c r="C1926">
        <v>88</v>
      </c>
      <c r="D1926" t="s">
        <v>1447</v>
      </c>
      <c r="E1926" t="s">
        <v>1857</v>
      </c>
      <c r="F1926" t="s">
        <v>1741</v>
      </c>
      <c r="G1926" t="str">
        <f>IF(ISBLANK('Q 5'!H290),"",IF('Q 5'!H290="&lt;please select&gt;","",'Q 5'!H290))</f>
        <v/>
      </c>
    </row>
    <row r="1927" spans="1:7" x14ac:dyDescent="0.3">
      <c r="A1927" t="s">
        <v>1847</v>
      </c>
      <c r="B1927" t="s">
        <v>1855</v>
      </c>
      <c r="C1927">
        <v>89</v>
      </c>
      <c r="D1927" t="s">
        <v>1447</v>
      </c>
      <c r="E1927" t="s">
        <v>1857</v>
      </c>
      <c r="F1927" t="s">
        <v>1741</v>
      </c>
      <c r="G1927" t="str">
        <f>IF(ISBLANK('Q 5'!H291),"",IF('Q 5'!H291="&lt;please select&gt;","",'Q 5'!H291))</f>
        <v/>
      </c>
    </row>
    <row r="1928" spans="1:7" x14ac:dyDescent="0.3">
      <c r="A1928" t="s">
        <v>1847</v>
      </c>
      <c r="B1928" t="s">
        <v>1855</v>
      </c>
      <c r="C1928">
        <v>90</v>
      </c>
      <c r="D1928" t="s">
        <v>1447</v>
      </c>
      <c r="E1928" t="s">
        <v>1857</v>
      </c>
      <c r="F1928" t="s">
        <v>1741</v>
      </c>
      <c r="G1928" t="str">
        <f>IF(ISBLANK('Q 5'!H292),"",IF('Q 5'!H292="&lt;please select&gt;","",'Q 5'!H292))</f>
        <v/>
      </c>
    </row>
    <row r="1929" spans="1:7" x14ac:dyDescent="0.3">
      <c r="A1929" t="s">
        <v>1847</v>
      </c>
      <c r="B1929" t="s">
        <v>1855</v>
      </c>
      <c r="C1929">
        <v>91</v>
      </c>
      <c r="D1929" t="s">
        <v>1447</v>
      </c>
      <c r="E1929" t="s">
        <v>1857</v>
      </c>
      <c r="F1929" t="s">
        <v>1741</v>
      </c>
      <c r="G1929" t="str">
        <f>IF(ISBLANK('Q 5'!H293),"",IF('Q 5'!H293="&lt;please select&gt;","",'Q 5'!H293))</f>
        <v/>
      </c>
    </row>
    <row r="1930" spans="1:7" x14ac:dyDescent="0.3">
      <c r="A1930" t="s">
        <v>1847</v>
      </c>
      <c r="B1930" t="s">
        <v>1855</v>
      </c>
      <c r="C1930">
        <v>92</v>
      </c>
      <c r="D1930" t="s">
        <v>1447</v>
      </c>
      <c r="E1930" t="s">
        <v>1857</v>
      </c>
      <c r="F1930" t="s">
        <v>1741</v>
      </c>
      <c r="G1930" t="str">
        <f>IF(ISBLANK('Q 5'!H294),"",IF('Q 5'!H294="&lt;please select&gt;","",'Q 5'!H294))</f>
        <v/>
      </c>
    </row>
    <row r="1931" spans="1:7" x14ac:dyDescent="0.3">
      <c r="A1931" t="s">
        <v>1847</v>
      </c>
      <c r="B1931" t="s">
        <v>1855</v>
      </c>
      <c r="C1931">
        <v>93</v>
      </c>
      <c r="D1931" t="s">
        <v>1447</v>
      </c>
      <c r="E1931" t="s">
        <v>1857</v>
      </c>
      <c r="F1931" t="s">
        <v>1741</v>
      </c>
      <c r="G1931" t="str">
        <f>IF(ISBLANK('Q 5'!H295),"",IF('Q 5'!H295="&lt;please select&gt;","",'Q 5'!H295))</f>
        <v/>
      </c>
    </row>
    <row r="1932" spans="1:7" x14ac:dyDescent="0.3">
      <c r="A1932" t="s">
        <v>1847</v>
      </c>
      <c r="B1932" t="s">
        <v>1855</v>
      </c>
      <c r="C1932">
        <v>94</v>
      </c>
      <c r="D1932" t="s">
        <v>1447</v>
      </c>
      <c r="E1932" t="s">
        <v>1857</v>
      </c>
      <c r="F1932" t="s">
        <v>1741</v>
      </c>
      <c r="G1932" t="str">
        <f>IF(ISBLANK('Q 5'!H296),"",IF('Q 5'!H296="&lt;please select&gt;","",'Q 5'!H296))</f>
        <v/>
      </c>
    </row>
    <row r="1933" spans="1:7" x14ac:dyDescent="0.3">
      <c r="A1933" t="s">
        <v>1847</v>
      </c>
      <c r="B1933" t="s">
        <v>1855</v>
      </c>
      <c r="C1933">
        <v>95</v>
      </c>
      <c r="D1933" t="s">
        <v>1447</v>
      </c>
      <c r="E1933" t="s">
        <v>1857</v>
      </c>
      <c r="F1933" t="s">
        <v>1741</v>
      </c>
      <c r="G1933" t="str">
        <f>IF(ISBLANK('Q 5'!H297),"",IF('Q 5'!H297="&lt;please select&gt;","",'Q 5'!H297))</f>
        <v/>
      </c>
    </row>
    <row r="1934" spans="1:7" x14ac:dyDescent="0.3">
      <c r="A1934" t="s">
        <v>1847</v>
      </c>
      <c r="B1934" t="s">
        <v>1855</v>
      </c>
      <c r="C1934">
        <v>96</v>
      </c>
      <c r="D1934" t="s">
        <v>1447</v>
      </c>
      <c r="E1934" t="s">
        <v>1857</v>
      </c>
      <c r="F1934" t="s">
        <v>1741</v>
      </c>
      <c r="G1934" t="str">
        <f>IF(ISBLANK('Q 5'!H298),"",IF('Q 5'!H298="&lt;please select&gt;","",'Q 5'!H298))</f>
        <v/>
      </c>
    </row>
    <row r="1935" spans="1:7" x14ac:dyDescent="0.3">
      <c r="A1935" t="s">
        <v>1847</v>
      </c>
      <c r="B1935" t="s">
        <v>1855</v>
      </c>
      <c r="C1935">
        <v>97</v>
      </c>
      <c r="D1935" t="s">
        <v>1447</v>
      </c>
      <c r="E1935" t="s">
        <v>1857</v>
      </c>
      <c r="F1935" t="s">
        <v>1741</v>
      </c>
      <c r="G1935" t="str">
        <f>IF(ISBLANK('Q 5'!H299),"",IF('Q 5'!H299="&lt;please select&gt;","",'Q 5'!H299))</f>
        <v/>
      </c>
    </row>
    <row r="1936" spans="1:7" x14ac:dyDescent="0.3">
      <c r="A1936" t="s">
        <v>1847</v>
      </c>
      <c r="B1936" t="s">
        <v>1855</v>
      </c>
      <c r="C1936">
        <v>98</v>
      </c>
      <c r="D1936" t="s">
        <v>1447</v>
      </c>
      <c r="E1936" t="s">
        <v>1857</v>
      </c>
      <c r="F1936" t="s">
        <v>1741</v>
      </c>
      <c r="G1936" t="str">
        <f>IF(ISBLANK('Q 5'!H300),"",IF('Q 5'!H300="&lt;please select&gt;","",'Q 5'!H300))</f>
        <v/>
      </c>
    </row>
    <row r="1937" spans="1:7" x14ac:dyDescent="0.3">
      <c r="A1937" t="s">
        <v>1847</v>
      </c>
      <c r="B1937" t="s">
        <v>1855</v>
      </c>
      <c r="C1937">
        <v>99</v>
      </c>
      <c r="D1937" t="s">
        <v>1447</v>
      </c>
      <c r="E1937" t="s">
        <v>1857</v>
      </c>
      <c r="F1937" t="s">
        <v>1741</v>
      </c>
      <c r="G1937" t="str">
        <f>IF(ISBLANK('Q 5'!H301),"",IF('Q 5'!H301="&lt;please select&gt;","",'Q 5'!H301))</f>
        <v/>
      </c>
    </row>
    <row r="1938" spans="1:7" x14ac:dyDescent="0.3">
      <c r="A1938" t="s">
        <v>1847</v>
      </c>
      <c r="B1938" t="s">
        <v>1855</v>
      </c>
      <c r="C1938">
        <v>100</v>
      </c>
      <c r="D1938" t="s">
        <v>1447</v>
      </c>
      <c r="E1938" t="s">
        <v>1857</v>
      </c>
      <c r="F1938" t="s">
        <v>1741</v>
      </c>
      <c r="G1938" t="str">
        <f>IF(ISBLANK('Q 5'!H302),"",IF('Q 5'!H302="&lt;please select&gt;","",'Q 5'!H302))</f>
        <v/>
      </c>
    </row>
    <row r="1939" spans="1:7" x14ac:dyDescent="0.3">
      <c r="A1939" t="s">
        <v>1847</v>
      </c>
      <c r="B1939" t="s">
        <v>1855</v>
      </c>
      <c r="C1939">
        <v>101</v>
      </c>
      <c r="D1939" t="s">
        <v>1447</v>
      </c>
      <c r="E1939" t="s">
        <v>1857</v>
      </c>
      <c r="F1939" t="s">
        <v>1741</v>
      </c>
      <c r="G1939" t="str">
        <f>IF(ISBLANK('Q 5'!H303),"",IF('Q 5'!H303="&lt;please select&gt;","",'Q 5'!H303))</f>
        <v/>
      </c>
    </row>
    <row r="1940" spans="1:7" x14ac:dyDescent="0.3">
      <c r="A1940" t="s">
        <v>1847</v>
      </c>
      <c r="B1940" t="s">
        <v>1855</v>
      </c>
      <c r="C1940">
        <v>102</v>
      </c>
      <c r="D1940" t="s">
        <v>1447</v>
      </c>
      <c r="E1940" t="s">
        <v>1857</v>
      </c>
      <c r="F1940" t="s">
        <v>1741</v>
      </c>
      <c r="G1940" t="str">
        <f>IF(ISBLANK('Q 5'!H304),"",IF('Q 5'!H304="&lt;please select&gt;","",'Q 5'!H304))</f>
        <v/>
      </c>
    </row>
    <row r="1941" spans="1:7" x14ac:dyDescent="0.3">
      <c r="A1941" t="s">
        <v>1847</v>
      </c>
      <c r="B1941" t="s">
        <v>1855</v>
      </c>
      <c r="C1941">
        <v>103</v>
      </c>
      <c r="D1941" t="s">
        <v>1447</v>
      </c>
      <c r="E1941" t="s">
        <v>1857</v>
      </c>
      <c r="F1941" t="s">
        <v>1741</v>
      </c>
      <c r="G1941" t="str">
        <f>IF(ISBLANK('Q 5'!H305),"",IF('Q 5'!H305="&lt;please select&gt;","",'Q 5'!H305))</f>
        <v/>
      </c>
    </row>
    <row r="1942" spans="1:7" x14ac:dyDescent="0.3">
      <c r="A1942" t="s">
        <v>1847</v>
      </c>
      <c r="B1942" t="s">
        <v>1855</v>
      </c>
      <c r="C1942">
        <v>104</v>
      </c>
      <c r="D1942" t="s">
        <v>1447</v>
      </c>
      <c r="E1942" t="s">
        <v>1857</v>
      </c>
      <c r="F1942" t="s">
        <v>1741</v>
      </c>
      <c r="G1942" t="str">
        <f>IF(ISBLANK('Q 5'!H306),"",IF('Q 5'!H306="&lt;please select&gt;","",'Q 5'!H306))</f>
        <v/>
      </c>
    </row>
    <row r="1943" spans="1:7" x14ac:dyDescent="0.3">
      <c r="A1943" t="s">
        <v>1847</v>
      </c>
      <c r="B1943" t="s">
        <v>1855</v>
      </c>
      <c r="C1943">
        <v>105</v>
      </c>
      <c r="D1943" t="s">
        <v>1447</v>
      </c>
      <c r="E1943" t="s">
        <v>1857</v>
      </c>
      <c r="F1943" t="s">
        <v>1741</v>
      </c>
      <c r="G1943" t="str">
        <f>IF(ISBLANK('Q 5'!H307),"",IF('Q 5'!H307="&lt;please select&gt;","",'Q 5'!H307))</f>
        <v/>
      </c>
    </row>
    <row r="1944" spans="1:7" x14ac:dyDescent="0.3">
      <c r="A1944" t="s">
        <v>1847</v>
      </c>
      <c r="B1944" t="s">
        <v>1855</v>
      </c>
      <c r="C1944">
        <v>106</v>
      </c>
      <c r="D1944" t="s">
        <v>1447</v>
      </c>
      <c r="E1944" t="s">
        <v>1857</v>
      </c>
      <c r="F1944" t="s">
        <v>1741</v>
      </c>
      <c r="G1944" t="str">
        <f>IF(ISBLANK('Q 5'!H308),"",IF('Q 5'!H308="&lt;please select&gt;","",'Q 5'!H308))</f>
        <v/>
      </c>
    </row>
    <row r="1945" spans="1:7" x14ac:dyDescent="0.3">
      <c r="A1945" t="s">
        <v>1847</v>
      </c>
      <c r="B1945" t="s">
        <v>1855</v>
      </c>
      <c r="C1945">
        <v>107</v>
      </c>
      <c r="D1945" t="s">
        <v>1447</v>
      </c>
      <c r="E1945" t="s">
        <v>1857</v>
      </c>
      <c r="F1945" t="s">
        <v>1741</v>
      </c>
      <c r="G1945" t="str">
        <f>IF(ISBLANK('Q 5'!H309),"",IF('Q 5'!H309="&lt;please select&gt;","",'Q 5'!H309))</f>
        <v/>
      </c>
    </row>
    <row r="1946" spans="1:7" x14ac:dyDescent="0.3">
      <c r="A1946" t="s">
        <v>1847</v>
      </c>
      <c r="B1946" t="s">
        <v>1855</v>
      </c>
      <c r="C1946">
        <v>108</v>
      </c>
      <c r="D1946" t="s">
        <v>1447</v>
      </c>
      <c r="E1946" t="s">
        <v>1857</v>
      </c>
      <c r="F1946" t="s">
        <v>1741</v>
      </c>
      <c r="G1946" t="str">
        <f>IF(ISBLANK('Q 5'!H310),"",IF('Q 5'!H310="&lt;please select&gt;","",'Q 5'!H310))</f>
        <v/>
      </c>
    </row>
    <row r="1947" spans="1:7" x14ac:dyDescent="0.3">
      <c r="A1947" t="s">
        <v>1847</v>
      </c>
      <c r="B1947" t="s">
        <v>1855</v>
      </c>
      <c r="C1947">
        <v>109</v>
      </c>
      <c r="D1947" t="s">
        <v>1447</v>
      </c>
      <c r="E1947" t="s">
        <v>1857</v>
      </c>
      <c r="F1947" t="s">
        <v>1741</v>
      </c>
      <c r="G1947" t="str">
        <f>IF(ISBLANK('Q 5'!H311),"",IF('Q 5'!H311="&lt;please select&gt;","",'Q 5'!H311))</f>
        <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12</v>
      </c>
    </row>
    <row r="2640" spans="1:8" x14ac:dyDescent="0.3">
      <c r="A2640" t="s">
        <v>1847</v>
      </c>
      <c r="B2640" t="s">
        <v>1855</v>
      </c>
      <c r="C2640">
        <v>2</v>
      </c>
      <c r="D2640" t="s">
        <v>1447</v>
      </c>
      <c r="E2640" t="s">
        <v>1858</v>
      </c>
      <c r="F2640" t="s">
        <v>1748</v>
      </c>
      <c r="H2640" s="165" t="str">
        <f>IF(ISBLANK('Q 5'!I204),"",IF('Q 5'!I204="&lt;please select&gt;","",'Q 5'!I204))</f>
        <v>3</v>
      </c>
    </row>
    <row r="2641" spans="1:8" x14ac:dyDescent="0.3">
      <c r="A2641" t="s">
        <v>1847</v>
      </c>
      <c r="B2641" t="s">
        <v>1855</v>
      </c>
      <c r="C2641">
        <v>3</v>
      </c>
      <c r="D2641" t="s">
        <v>1447</v>
      </c>
      <c r="E2641" t="s">
        <v>1858</v>
      </c>
      <c r="F2641" t="s">
        <v>1748</v>
      </c>
      <c r="H2641" s="165" t="str">
        <f>IF(ISBLANK('Q 5'!I205),"",IF('Q 5'!I205="&lt;please select&gt;","",'Q 5'!I205))</f>
        <v>2</v>
      </c>
    </row>
    <row r="2642" spans="1:8" x14ac:dyDescent="0.3">
      <c r="A2642" t="s">
        <v>1847</v>
      </c>
      <c r="B2642" t="s">
        <v>1855</v>
      </c>
      <c r="C2642">
        <v>4</v>
      </c>
      <c r="D2642" t="s">
        <v>1447</v>
      </c>
      <c r="E2642" t="s">
        <v>1858</v>
      </c>
      <c r="F2642" t="s">
        <v>1748</v>
      </c>
      <c r="H2642" s="165" t="str">
        <f>IF(ISBLANK('Q 5'!I206),"",IF('Q 5'!I206="&lt;please select&gt;","",'Q 5'!I206))</f>
        <v>1</v>
      </c>
    </row>
    <row r="2643" spans="1:8" x14ac:dyDescent="0.3">
      <c r="A2643" t="s">
        <v>1847</v>
      </c>
      <c r="B2643" t="s">
        <v>1855</v>
      </c>
      <c r="C2643">
        <v>5</v>
      </c>
      <c r="D2643" t="s">
        <v>1447</v>
      </c>
      <c r="E2643" t="s">
        <v>1858</v>
      </c>
      <c r="F2643" t="s">
        <v>1748</v>
      </c>
      <c r="H2643" s="165" t="str">
        <f>IF(ISBLANK('Q 5'!I207),"",IF('Q 5'!I207="&lt;please select&gt;","",'Q 5'!I207))</f>
        <v>1</v>
      </c>
    </row>
    <row r="2644" spans="1:8" x14ac:dyDescent="0.3">
      <c r="A2644" t="s">
        <v>1847</v>
      </c>
      <c r="B2644" t="s">
        <v>1855</v>
      </c>
      <c r="C2644">
        <v>6</v>
      </c>
      <c r="D2644" t="s">
        <v>1447</v>
      </c>
      <c r="E2644" t="s">
        <v>1858</v>
      </c>
      <c r="F2644" t="s">
        <v>1748</v>
      </c>
      <c r="H2644" s="165" t="str">
        <f>IF(ISBLANK('Q 5'!I208),"",IF('Q 5'!I208="&lt;please select&gt;","",'Q 5'!I208))</f>
        <v>1</v>
      </c>
    </row>
    <row r="2645" spans="1:8" x14ac:dyDescent="0.3">
      <c r="A2645" t="s">
        <v>1847</v>
      </c>
      <c r="B2645" t="s">
        <v>1855</v>
      </c>
      <c r="C2645">
        <v>7</v>
      </c>
      <c r="D2645" t="s">
        <v>1447</v>
      </c>
      <c r="E2645" t="s">
        <v>1858</v>
      </c>
      <c r="F2645" t="s">
        <v>1748</v>
      </c>
      <c r="H2645" s="165" t="str">
        <f>IF(ISBLANK('Q 5'!I209),"",IF('Q 5'!I209="&lt;please select&gt;","",'Q 5'!I209))</f>
        <v>1</v>
      </c>
    </row>
    <row r="2646" spans="1:8" x14ac:dyDescent="0.3">
      <c r="A2646" t="s">
        <v>1847</v>
      </c>
      <c r="B2646" t="s">
        <v>1855</v>
      </c>
      <c r="C2646">
        <v>8</v>
      </c>
      <c r="D2646" t="s">
        <v>1447</v>
      </c>
      <c r="E2646" t="s">
        <v>1858</v>
      </c>
      <c r="F2646" t="s">
        <v>1748</v>
      </c>
      <c r="H2646" s="165" t="str">
        <f>IF(ISBLANK('Q 5'!I210),"",IF('Q 5'!I210="&lt;please select&gt;","",'Q 5'!I210))</f>
        <v>1</v>
      </c>
    </row>
    <row r="2647" spans="1:8" x14ac:dyDescent="0.3">
      <c r="A2647" t="s">
        <v>1847</v>
      </c>
      <c r="B2647" t="s">
        <v>1855</v>
      </c>
      <c r="C2647">
        <v>9</v>
      </c>
      <c r="D2647" t="s">
        <v>1447</v>
      </c>
      <c r="E2647" t="s">
        <v>1858</v>
      </c>
      <c r="F2647" t="s">
        <v>1748</v>
      </c>
      <c r="H2647" s="165" t="str">
        <f>IF(ISBLANK('Q 5'!I211),"",IF('Q 5'!I211="&lt;please select&gt;","",'Q 5'!I211))</f>
        <v>2</v>
      </c>
    </row>
    <row r="2648" spans="1:8" x14ac:dyDescent="0.3">
      <c r="A2648" t="s">
        <v>1847</v>
      </c>
      <c r="B2648" t="s">
        <v>1855</v>
      </c>
      <c r="C2648">
        <v>10</v>
      </c>
      <c r="D2648" t="s">
        <v>1447</v>
      </c>
      <c r="E2648" t="s">
        <v>1858</v>
      </c>
      <c r="F2648" t="s">
        <v>1748</v>
      </c>
      <c r="H2648" s="165" t="str">
        <f>IF(ISBLANK('Q 5'!I212),"",IF('Q 5'!I212="&lt;please select&gt;","",'Q 5'!I212))</f>
        <v>2</v>
      </c>
    </row>
    <row r="2649" spans="1:8" x14ac:dyDescent="0.3">
      <c r="A2649" t="s">
        <v>1847</v>
      </c>
      <c r="B2649" t="s">
        <v>1855</v>
      </c>
      <c r="C2649">
        <v>11</v>
      </c>
      <c r="D2649" t="s">
        <v>1447</v>
      </c>
      <c r="E2649" t="s">
        <v>1858</v>
      </c>
      <c r="F2649" t="s">
        <v>1748</v>
      </c>
      <c r="H2649" s="165" t="str">
        <f>IF(ISBLANK('Q 5'!I213),"",IF('Q 5'!I213="&lt;please select&gt;","",'Q 5'!I213))</f>
        <v>2</v>
      </c>
    </row>
    <row r="2650" spans="1:8" x14ac:dyDescent="0.3">
      <c r="A2650" t="s">
        <v>1847</v>
      </c>
      <c r="B2650" t="s">
        <v>1855</v>
      </c>
      <c r="C2650">
        <v>12</v>
      </c>
      <c r="D2650" t="s">
        <v>1447</v>
      </c>
      <c r="E2650" t="s">
        <v>1858</v>
      </c>
      <c r="F2650" t="s">
        <v>1748</v>
      </c>
      <c r="H2650" s="165" t="str">
        <f>IF(ISBLANK('Q 5'!I214),"",IF('Q 5'!I214="&lt;please select&gt;","",'Q 5'!I214))</f>
        <v>34</v>
      </c>
    </row>
    <row r="2651" spans="1:8" x14ac:dyDescent="0.3">
      <c r="A2651" t="s">
        <v>1847</v>
      </c>
      <c r="B2651" t="s">
        <v>1855</v>
      </c>
      <c r="C2651">
        <v>13</v>
      </c>
      <c r="D2651" t="s">
        <v>1447</v>
      </c>
      <c r="E2651" t="s">
        <v>1858</v>
      </c>
      <c r="F2651" t="s">
        <v>1748</v>
      </c>
      <c r="H2651" s="165" t="str">
        <f>IF(ISBLANK('Q 5'!I215),"",IF('Q 5'!I215="&lt;please select&gt;","",'Q 5'!I215))</f>
        <v>9</v>
      </c>
    </row>
    <row r="2652" spans="1:8" x14ac:dyDescent="0.3">
      <c r="A2652" t="s">
        <v>1847</v>
      </c>
      <c r="B2652" t="s">
        <v>1855</v>
      </c>
      <c r="C2652">
        <v>14</v>
      </c>
      <c r="D2652" t="s">
        <v>1447</v>
      </c>
      <c r="E2652" t="s">
        <v>1858</v>
      </c>
      <c r="F2652" t="s">
        <v>1748</v>
      </c>
      <c r="H2652" s="165" t="str">
        <f>IF(ISBLANK('Q 5'!I216),"",IF('Q 5'!I216="&lt;please select&gt;","",'Q 5'!I216))</f>
        <v>2</v>
      </c>
    </row>
    <row r="2653" spans="1:8" x14ac:dyDescent="0.3">
      <c r="A2653" t="s">
        <v>1847</v>
      </c>
      <c r="B2653" t="s">
        <v>1855</v>
      </c>
      <c r="C2653">
        <v>15</v>
      </c>
      <c r="D2653" t="s">
        <v>1447</v>
      </c>
      <c r="E2653" t="s">
        <v>1858</v>
      </c>
      <c r="F2653" t="s">
        <v>1748</v>
      </c>
      <c r="H2653" s="165" t="str">
        <f>IF(ISBLANK('Q 5'!I217),"",IF('Q 5'!I217="&lt;please select&gt;","",'Q 5'!I217))</f>
        <v>11</v>
      </c>
    </row>
    <row r="2654" spans="1:8" x14ac:dyDescent="0.3">
      <c r="A2654" t="s">
        <v>1847</v>
      </c>
      <c r="B2654" t="s">
        <v>1855</v>
      </c>
      <c r="C2654">
        <v>16</v>
      </c>
      <c r="D2654" t="s">
        <v>1447</v>
      </c>
      <c r="E2654" t="s">
        <v>1858</v>
      </c>
      <c r="F2654" t="s">
        <v>1748</v>
      </c>
      <c r="H2654" s="165" t="str">
        <f>IF(ISBLANK('Q 5'!I218),"",IF('Q 5'!I218="&lt;please select&gt;","",'Q 5'!I218))</f>
        <v>1</v>
      </c>
    </row>
    <row r="2655" spans="1:8" x14ac:dyDescent="0.3">
      <c r="A2655" t="s">
        <v>1847</v>
      </c>
      <c r="B2655" t="s">
        <v>1855</v>
      </c>
      <c r="C2655">
        <v>17</v>
      </c>
      <c r="D2655" t="s">
        <v>1447</v>
      </c>
      <c r="E2655" t="s">
        <v>1858</v>
      </c>
      <c r="F2655" t="s">
        <v>1748</v>
      </c>
      <c r="H2655" s="165" t="str">
        <f>IF(ISBLANK('Q 5'!I219),"",IF('Q 5'!I219="&lt;please select&gt;","",'Q 5'!I219))</f>
        <v>5</v>
      </c>
    </row>
    <row r="2656" spans="1:8" x14ac:dyDescent="0.3">
      <c r="A2656" t="s">
        <v>1847</v>
      </c>
      <c r="B2656" t="s">
        <v>1855</v>
      </c>
      <c r="C2656">
        <v>18</v>
      </c>
      <c r="D2656" t="s">
        <v>1447</v>
      </c>
      <c r="E2656" t="s">
        <v>1858</v>
      </c>
      <c r="F2656" t="s">
        <v>1748</v>
      </c>
      <c r="H2656" s="165" t="str">
        <f>IF(ISBLANK('Q 5'!I220),"",IF('Q 5'!I220="&lt;please select&gt;","",'Q 5'!I220))</f>
        <v>2</v>
      </c>
    </row>
    <row r="2657" spans="1:8" x14ac:dyDescent="0.3">
      <c r="A2657" t="s">
        <v>1847</v>
      </c>
      <c r="B2657" t="s">
        <v>1855</v>
      </c>
      <c r="C2657">
        <v>19</v>
      </c>
      <c r="D2657" t="s">
        <v>1447</v>
      </c>
      <c r="E2657" t="s">
        <v>1858</v>
      </c>
      <c r="F2657" t="s">
        <v>1748</v>
      </c>
      <c r="H2657" s="165" t="str">
        <f>IF(ISBLANK('Q 5'!I221),"",IF('Q 5'!I221="&lt;please select&gt;","",'Q 5'!I221))</f>
        <v>1</v>
      </c>
    </row>
    <row r="2658" spans="1:8" x14ac:dyDescent="0.3">
      <c r="A2658" t="s">
        <v>1847</v>
      </c>
      <c r="B2658" t="s">
        <v>1855</v>
      </c>
      <c r="C2658">
        <v>20</v>
      </c>
      <c r="D2658" t="s">
        <v>1447</v>
      </c>
      <c r="E2658" t="s">
        <v>1858</v>
      </c>
      <c r="F2658" t="s">
        <v>1748</v>
      </c>
      <c r="H2658" s="165" t="str">
        <f>IF(ISBLANK('Q 5'!I222),"",IF('Q 5'!I222="&lt;please select&gt;","",'Q 5'!I222))</f>
        <v>2</v>
      </c>
    </row>
    <row r="2659" spans="1:8" x14ac:dyDescent="0.3">
      <c r="A2659" t="s">
        <v>1847</v>
      </c>
      <c r="B2659" t="s">
        <v>1855</v>
      </c>
      <c r="C2659">
        <v>21</v>
      </c>
      <c r="D2659" t="s">
        <v>1447</v>
      </c>
      <c r="E2659" t="s">
        <v>1858</v>
      </c>
      <c r="F2659" t="s">
        <v>1748</v>
      </c>
      <c r="H2659" s="165" t="str">
        <f>IF(ISBLANK('Q 5'!I223),"",IF('Q 5'!I223="&lt;please select&gt;","",'Q 5'!I223))</f>
        <v>2</v>
      </c>
    </row>
    <row r="2660" spans="1:8" x14ac:dyDescent="0.3">
      <c r="A2660" t="s">
        <v>1847</v>
      </c>
      <c r="B2660" t="s">
        <v>1855</v>
      </c>
      <c r="C2660">
        <v>22</v>
      </c>
      <c r="D2660" t="s">
        <v>1447</v>
      </c>
      <c r="E2660" t="s">
        <v>1858</v>
      </c>
      <c r="F2660" t="s">
        <v>1748</v>
      </c>
      <c r="H2660" s="165" t="str">
        <f>IF(ISBLANK('Q 5'!I224),"",IF('Q 5'!I224="&lt;please select&gt;","",'Q 5'!I224))</f>
        <v>2</v>
      </c>
    </row>
    <row r="2661" spans="1:8" x14ac:dyDescent="0.3">
      <c r="A2661" t="s">
        <v>1847</v>
      </c>
      <c r="B2661" t="s">
        <v>1855</v>
      </c>
      <c r="C2661">
        <v>23</v>
      </c>
      <c r="D2661" t="s">
        <v>1447</v>
      </c>
      <c r="E2661" t="s">
        <v>1858</v>
      </c>
      <c r="F2661" t="s">
        <v>1748</v>
      </c>
      <c r="H2661" s="165" t="str">
        <f>IF(ISBLANK('Q 5'!I225),"",IF('Q 5'!I225="&lt;please select&gt;","",'Q 5'!I225))</f>
        <v>1</v>
      </c>
    </row>
    <row r="2662" spans="1:8" x14ac:dyDescent="0.3">
      <c r="A2662" t="s">
        <v>1847</v>
      </c>
      <c r="B2662" t="s">
        <v>1855</v>
      </c>
      <c r="C2662">
        <v>24</v>
      </c>
      <c r="D2662" t="s">
        <v>1447</v>
      </c>
      <c r="E2662" t="s">
        <v>1858</v>
      </c>
      <c r="F2662" t="s">
        <v>1748</v>
      </c>
      <c r="H2662" s="165" t="str">
        <f>IF(ISBLANK('Q 5'!I226),"",IF('Q 5'!I226="&lt;please select&gt;","",'Q 5'!I226))</f>
        <v>1</v>
      </c>
    </row>
    <row r="2663" spans="1:8" x14ac:dyDescent="0.3">
      <c r="A2663" t="s">
        <v>1847</v>
      </c>
      <c r="B2663" t="s">
        <v>1855</v>
      </c>
      <c r="C2663">
        <v>25</v>
      </c>
      <c r="D2663" t="s">
        <v>1447</v>
      </c>
      <c r="E2663" t="s">
        <v>1858</v>
      </c>
      <c r="F2663" t="s">
        <v>1748</v>
      </c>
      <c r="H2663" s="165" t="str">
        <f>IF(ISBLANK('Q 5'!I227),"",IF('Q 5'!I227="&lt;please select&gt;","",'Q 5'!I227))</f>
        <v>1</v>
      </c>
    </row>
    <row r="2664" spans="1:8" x14ac:dyDescent="0.3">
      <c r="A2664" t="s">
        <v>1847</v>
      </c>
      <c r="B2664" t="s">
        <v>1855</v>
      </c>
      <c r="C2664">
        <v>26</v>
      </c>
      <c r="D2664" t="s">
        <v>1447</v>
      </c>
      <c r="E2664" t="s">
        <v>1858</v>
      </c>
      <c r="F2664" t="s">
        <v>1748</v>
      </c>
      <c r="H2664" s="165" t="str">
        <f>IF(ISBLANK('Q 5'!I228),"",IF('Q 5'!I228="&lt;please select&gt;","",'Q 5'!I228))</f>
        <v>2</v>
      </c>
    </row>
    <row r="2665" spans="1:8" x14ac:dyDescent="0.3">
      <c r="A2665" t="s">
        <v>1847</v>
      </c>
      <c r="B2665" t="s">
        <v>1855</v>
      </c>
      <c r="C2665">
        <v>27</v>
      </c>
      <c r="D2665" t="s">
        <v>1447</v>
      </c>
      <c r="E2665" t="s">
        <v>1858</v>
      </c>
      <c r="F2665" t="s">
        <v>1748</v>
      </c>
      <c r="H2665" s="165" t="str">
        <f>IF(ISBLANK('Q 5'!I229),"",IF('Q 5'!I229="&lt;please select&gt;","",'Q 5'!I229))</f>
        <v>5</v>
      </c>
    </row>
    <row r="2666" spans="1:8" x14ac:dyDescent="0.3">
      <c r="A2666" t="s">
        <v>1847</v>
      </c>
      <c r="B2666" t="s">
        <v>1855</v>
      </c>
      <c r="C2666">
        <v>28</v>
      </c>
      <c r="D2666" t="s">
        <v>1447</v>
      </c>
      <c r="E2666" t="s">
        <v>1858</v>
      </c>
      <c r="F2666" t="s">
        <v>1748</v>
      </c>
      <c r="H2666" s="165" t="str">
        <f>IF(ISBLANK('Q 5'!I230),"",IF('Q 5'!I230="&lt;please select&gt;","",'Q 5'!I230))</f>
        <v>1</v>
      </c>
    </row>
    <row r="2667" spans="1:8" x14ac:dyDescent="0.3">
      <c r="A2667" t="s">
        <v>1847</v>
      </c>
      <c r="B2667" t="s">
        <v>1855</v>
      </c>
      <c r="C2667">
        <v>29</v>
      </c>
      <c r="D2667" t="s">
        <v>1447</v>
      </c>
      <c r="E2667" t="s">
        <v>1858</v>
      </c>
      <c r="F2667" t="s">
        <v>1748</v>
      </c>
      <c r="H2667" s="165" t="str">
        <f>IF(ISBLANK('Q 5'!I231),"",IF('Q 5'!I231="&lt;please select&gt;","",'Q 5'!I231))</f>
        <v>1</v>
      </c>
    </row>
    <row r="2668" spans="1:8" x14ac:dyDescent="0.3">
      <c r="A2668" t="s">
        <v>1847</v>
      </c>
      <c r="B2668" t="s">
        <v>1855</v>
      </c>
      <c r="C2668">
        <v>30</v>
      </c>
      <c r="D2668" t="s">
        <v>1447</v>
      </c>
      <c r="E2668" t="s">
        <v>1858</v>
      </c>
      <c r="F2668" t="s">
        <v>1748</v>
      </c>
      <c r="H2668" s="165" t="str">
        <f>IF(ISBLANK('Q 5'!I232),"",IF('Q 5'!I232="&lt;please select&gt;","",'Q 5'!I232))</f>
        <v>1</v>
      </c>
    </row>
    <row r="2669" spans="1:8" x14ac:dyDescent="0.3">
      <c r="A2669" t="s">
        <v>1847</v>
      </c>
      <c r="B2669" t="s">
        <v>1855</v>
      </c>
      <c r="C2669">
        <v>31</v>
      </c>
      <c r="D2669" t="s">
        <v>1447</v>
      </c>
      <c r="E2669" t="s">
        <v>1858</v>
      </c>
      <c r="F2669" t="s">
        <v>1748</v>
      </c>
      <c r="H2669" s="165" t="str">
        <f>IF(ISBLANK('Q 5'!I233),"",IF('Q 5'!I233="&lt;please select&gt;","",'Q 5'!I233))</f>
        <v>9</v>
      </c>
    </row>
    <row r="2670" spans="1:8" x14ac:dyDescent="0.3">
      <c r="A2670" t="s">
        <v>1847</v>
      </c>
      <c r="B2670" t="s">
        <v>1855</v>
      </c>
      <c r="C2670">
        <v>32</v>
      </c>
      <c r="D2670" t="s">
        <v>1447</v>
      </c>
      <c r="E2670" t="s">
        <v>1858</v>
      </c>
      <c r="F2670" t="s">
        <v>1748</v>
      </c>
      <c r="H2670" s="165" t="str">
        <f>IF(ISBLANK('Q 5'!I234),"",IF('Q 5'!I234="&lt;please select&gt;","",'Q 5'!I234))</f>
        <v>2</v>
      </c>
    </row>
    <row r="2671" spans="1:8" x14ac:dyDescent="0.3">
      <c r="A2671" t="s">
        <v>1847</v>
      </c>
      <c r="B2671" t="s">
        <v>1855</v>
      </c>
      <c r="C2671">
        <v>33</v>
      </c>
      <c r="D2671" t="s">
        <v>1447</v>
      </c>
      <c r="E2671" t="s">
        <v>1858</v>
      </c>
      <c r="F2671" t="s">
        <v>1748</v>
      </c>
      <c r="H2671" s="165" t="str">
        <f>IF(ISBLANK('Q 5'!I235),"",IF('Q 5'!I235="&lt;please select&gt;","",'Q 5'!I235))</f>
        <v>15</v>
      </c>
    </row>
    <row r="2672" spans="1:8" x14ac:dyDescent="0.3">
      <c r="A2672" t="s">
        <v>1847</v>
      </c>
      <c r="B2672" t="s">
        <v>1855</v>
      </c>
      <c r="C2672">
        <v>34</v>
      </c>
      <c r="D2672" t="s">
        <v>1447</v>
      </c>
      <c r="E2672" t="s">
        <v>1858</v>
      </c>
      <c r="F2672" t="s">
        <v>1748</v>
      </c>
      <c r="H2672" s="165" t="str">
        <f>IF(ISBLANK('Q 5'!I236),"",IF('Q 5'!I236="&lt;please select&gt;","",'Q 5'!I236))</f>
        <v>3</v>
      </c>
    </row>
    <row r="2673" spans="1:8" x14ac:dyDescent="0.3">
      <c r="A2673" t="s">
        <v>1847</v>
      </c>
      <c r="B2673" t="s">
        <v>1855</v>
      </c>
      <c r="C2673">
        <v>35</v>
      </c>
      <c r="D2673" t="s">
        <v>1447</v>
      </c>
      <c r="E2673" t="s">
        <v>1858</v>
      </c>
      <c r="F2673" t="s">
        <v>1748</v>
      </c>
      <c r="H2673" s="165" t="str">
        <f>IF(ISBLANK('Q 5'!I237),"",IF('Q 5'!I237="&lt;please select&gt;","",'Q 5'!I237))</f>
        <v>11</v>
      </c>
    </row>
    <row r="2674" spans="1:8" x14ac:dyDescent="0.3">
      <c r="A2674" t="s">
        <v>1847</v>
      </c>
      <c r="B2674" t="s">
        <v>1855</v>
      </c>
      <c r="C2674">
        <v>36</v>
      </c>
      <c r="D2674" t="s">
        <v>1447</v>
      </c>
      <c r="E2674" t="s">
        <v>1858</v>
      </c>
      <c r="F2674" t="s">
        <v>1748</v>
      </c>
      <c r="H2674" s="165" t="str">
        <f>IF(ISBLANK('Q 5'!I238),"",IF('Q 5'!I238="&lt;please select&gt;","",'Q 5'!I238))</f>
        <v>4</v>
      </c>
    </row>
    <row r="2675" spans="1:8" x14ac:dyDescent="0.3">
      <c r="A2675" t="s">
        <v>1847</v>
      </c>
      <c r="B2675" t="s">
        <v>1855</v>
      </c>
      <c r="C2675">
        <v>37</v>
      </c>
      <c r="D2675" t="s">
        <v>1447</v>
      </c>
      <c r="E2675" t="s">
        <v>1858</v>
      </c>
      <c r="F2675" t="s">
        <v>1748</v>
      </c>
      <c r="H2675" s="165" t="str">
        <f>IF(ISBLANK('Q 5'!I239),"",IF('Q 5'!I239="&lt;please select&gt;","",'Q 5'!I239))</f>
        <v>2</v>
      </c>
    </row>
    <row r="2676" spans="1:8" x14ac:dyDescent="0.3">
      <c r="A2676" t="s">
        <v>1847</v>
      </c>
      <c r="B2676" t="s">
        <v>1855</v>
      </c>
      <c r="C2676">
        <v>38</v>
      </c>
      <c r="D2676" t="s">
        <v>1447</v>
      </c>
      <c r="E2676" t="s">
        <v>1858</v>
      </c>
      <c r="F2676" t="s">
        <v>1748</v>
      </c>
      <c r="H2676" s="165" t="str">
        <f>IF(ISBLANK('Q 5'!I240),"",IF('Q 5'!I240="&lt;please select&gt;","",'Q 5'!I240))</f>
        <v>6</v>
      </c>
    </row>
    <row r="2677" spans="1:8" x14ac:dyDescent="0.3">
      <c r="A2677" t="s">
        <v>1847</v>
      </c>
      <c r="B2677" t="s">
        <v>1855</v>
      </c>
      <c r="C2677">
        <v>39</v>
      </c>
      <c r="D2677" t="s">
        <v>1447</v>
      </c>
      <c r="E2677" t="s">
        <v>1858</v>
      </c>
      <c r="F2677" t="s">
        <v>1748</v>
      </c>
      <c r="H2677" s="165" t="str">
        <f>IF(ISBLANK('Q 5'!I241),"",IF('Q 5'!I241="&lt;please select&gt;","",'Q 5'!I241))</f>
        <v>4</v>
      </c>
    </row>
    <row r="2678" spans="1:8" x14ac:dyDescent="0.3">
      <c r="A2678" t="s">
        <v>1847</v>
      </c>
      <c r="B2678" t="s">
        <v>1855</v>
      </c>
      <c r="C2678">
        <v>40</v>
      </c>
      <c r="D2678" t="s">
        <v>1447</v>
      </c>
      <c r="E2678" t="s">
        <v>1858</v>
      </c>
      <c r="F2678" t="s">
        <v>1748</v>
      </c>
      <c r="H2678" s="165" t="str">
        <f>IF(ISBLANK('Q 5'!I242),"",IF('Q 5'!I242="&lt;please select&gt;","",'Q 5'!I242))</f>
        <v>2</v>
      </c>
    </row>
    <row r="2679" spans="1:8" x14ac:dyDescent="0.3">
      <c r="A2679" t="s">
        <v>1847</v>
      </c>
      <c r="B2679" t="s">
        <v>1855</v>
      </c>
      <c r="C2679">
        <v>41</v>
      </c>
      <c r="D2679" t="s">
        <v>1447</v>
      </c>
      <c r="E2679" t="s">
        <v>1858</v>
      </c>
      <c r="F2679" t="s">
        <v>1748</v>
      </c>
      <c r="H2679" s="165" t="str">
        <f>IF(ISBLANK('Q 5'!I243),"",IF('Q 5'!I243="&lt;please select&gt;","",'Q 5'!I243))</f>
        <v>1</v>
      </c>
    </row>
    <row r="2680" spans="1:8" x14ac:dyDescent="0.3">
      <c r="A2680" t="s">
        <v>1847</v>
      </c>
      <c r="B2680" t="s">
        <v>1855</v>
      </c>
      <c r="C2680">
        <v>42</v>
      </c>
      <c r="D2680" t="s">
        <v>1447</v>
      </c>
      <c r="E2680" t="s">
        <v>1858</v>
      </c>
      <c r="F2680" t="s">
        <v>1748</v>
      </c>
      <c r="H2680" s="165" t="str">
        <f>IF(ISBLANK('Q 5'!I244),"",IF('Q 5'!I244="&lt;please select&gt;","",'Q 5'!I244))</f>
        <v>1</v>
      </c>
    </row>
    <row r="2681" spans="1:8" x14ac:dyDescent="0.3">
      <c r="A2681" t="s">
        <v>1847</v>
      </c>
      <c r="B2681" t="s">
        <v>1855</v>
      </c>
      <c r="C2681">
        <v>43</v>
      </c>
      <c r="D2681" t="s">
        <v>1447</v>
      </c>
      <c r="E2681" t="s">
        <v>1858</v>
      </c>
      <c r="F2681" t="s">
        <v>1748</v>
      </c>
      <c r="H2681" s="165" t="str">
        <f>IF(ISBLANK('Q 5'!I245),"",IF('Q 5'!I245="&lt;please select&gt;","",'Q 5'!I245))</f>
        <v>1</v>
      </c>
    </row>
    <row r="2682" spans="1:8" x14ac:dyDescent="0.3">
      <c r="A2682" t="s">
        <v>1847</v>
      </c>
      <c r="B2682" t="s">
        <v>1855</v>
      </c>
      <c r="C2682">
        <v>44</v>
      </c>
      <c r="D2682" t="s">
        <v>1447</v>
      </c>
      <c r="E2682" t="s">
        <v>1858</v>
      </c>
      <c r="F2682" t="s">
        <v>1748</v>
      </c>
      <c r="H2682" s="165" t="str">
        <f>IF(ISBLANK('Q 5'!I246),"",IF('Q 5'!I246="&lt;please select&gt;","",'Q 5'!I246))</f>
        <v>2</v>
      </c>
    </row>
    <row r="2683" spans="1:8" x14ac:dyDescent="0.3">
      <c r="A2683" t="s">
        <v>1847</v>
      </c>
      <c r="B2683" t="s">
        <v>1855</v>
      </c>
      <c r="C2683">
        <v>45</v>
      </c>
      <c r="D2683" t="s">
        <v>1447</v>
      </c>
      <c r="E2683" t="s">
        <v>1858</v>
      </c>
      <c r="F2683" t="s">
        <v>1748</v>
      </c>
      <c r="H2683" s="165" t="str">
        <f>IF(ISBLANK('Q 5'!I247),"",IF('Q 5'!I247="&lt;please select&gt;","",'Q 5'!I247))</f>
        <v>1</v>
      </c>
    </row>
    <row r="2684" spans="1:8" x14ac:dyDescent="0.3">
      <c r="A2684" t="s">
        <v>1847</v>
      </c>
      <c r="B2684" t="s">
        <v>1855</v>
      </c>
      <c r="C2684">
        <v>46</v>
      </c>
      <c r="D2684" t="s">
        <v>1447</v>
      </c>
      <c r="E2684" t="s">
        <v>1858</v>
      </c>
      <c r="F2684" t="s">
        <v>1748</v>
      </c>
      <c r="H2684" s="165" t="str">
        <f>IF(ISBLANK('Q 5'!I248),"",IF('Q 5'!I248="&lt;please select&gt;","",'Q 5'!I248))</f>
        <v/>
      </c>
    </row>
    <row r="2685" spans="1:8" x14ac:dyDescent="0.3">
      <c r="A2685" t="s">
        <v>1847</v>
      </c>
      <c r="B2685" t="s">
        <v>1855</v>
      </c>
      <c r="C2685">
        <v>47</v>
      </c>
      <c r="D2685" t="s">
        <v>1447</v>
      </c>
      <c r="E2685" t="s">
        <v>1858</v>
      </c>
      <c r="F2685" t="s">
        <v>1748</v>
      </c>
      <c r="H2685" s="165" t="str">
        <f>IF(ISBLANK('Q 5'!I249),"",IF('Q 5'!I249="&lt;please select&gt;","",'Q 5'!I249))</f>
        <v/>
      </c>
    </row>
    <row r="2686" spans="1:8" x14ac:dyDescent="0.3">
      <c r="A2686" t="s">
        <v>1847</v>
      </c>
      <c r="B2686" t="s">
        <v>1855</v>
      </c>
      <c r="C2686">
        <v>48</v>
      </c>
      <c r="D2686" t="s">
        <v>1447</v>
      </c>
      <c r="E2686" t="s">
        <v>1858</v>
      </c>
      <c r="F2686" t="s">
        <v>1748</v>
      </c>
      <c r="H2686" s="165" t="str">
        <f>IF(ISBLANK('Q 5'!I250),"",IF('Q 5'!I250="&lt;please select&gt;","",'Q 5'!I250))</f>
        <v/>
      </c>
    </row>
    <row r="2687" spans="1:8" x14ac:dyDescent="0.3">
      <c r="A2687" t="s">
        <v>1847</v>
      </c>
      <c r="B2687" t="s">
        <v>1855</v>
      </c>
      <c r="C2687">
        <v>49</v>
      </c>
      <c r="D2687" t="s">
        <v>1447</v>
      </c>
      <c r="E2687" t="s">
        <v>1858</v>
      </c>
      <c r="F2687" t="s">
        <v>1748</v>
      </c>
      <c r="H2687" s="165" t="str">
        <f>IF(ISBLANK('Q 5'!I251),"",IF('Q 5'!I251="&lt;please select&gt;","",'Q 5'!I251))</f>
        <v/>
      </c>
    </row>
    <row r="2688" spans="1:8" x14ac:dyDescent="0.3">
      <c r="A2688" t="s">
        <v>1847</v>
      </c>
      <c r="B2688" t="s">
        <v>1855</v>
      </c>
      <c r="C2688">
        <v>50</v>
      </c>
      <c r="D2688" t="s">
        <v>1447</v>
      </c>
      <c r="E2688" t="s">
        <v>1858</v>
      </c>
      <c r="F2688" t="s">
        <v>1748</v>
      </c>
      <c r="H2688" s="165" t="str">
        <f>IF(ISBLANK('Q 5'!I252),"",IF('Q 5'!I252="&lt;please select&gt;","",'Q 5'!I252))</f>
        <v/>
      </c>
    </row>
    <row r="2689" spans="1:8" x14ac:dyDescent="0.3">
      <c r="A2689" t="s">
        <v>1847</v>
      </c>
      <c r="B2689" t="s">
        <v>1855</v>
      </c>
      <c r="C2689">
        <v>51</v>
      </c>
      <c r="D2689" t="s">
        <v>1447</v>
      </c>
      <c r="E2689" t="s">
        <v>1858</v>
      </c>
      <c r="F2689" t="s">
        <v>1748</v>
      </c>
      <c r="H2689" s="165" t="str">
        <f>IF(ISBLANK('Q 5'!I253),"",IF('Q 5'!I253="&lt;please select&gt;","",'Q 5'!I253))</f>
        <v/>
      </c>
    </row>
    <row r="2690" spans="1:8" x14ac:dyDescent="0.3">
      <c r="A2690" t="s">
        <v>1847</v>
      </c>
      <c r="B2690" t="s">
        <v>1855</v>
      </c>
      <c r="C2690">
        <v>52</v>
      </c>
      <c r="D2690" t="s">
        <v>1447</v>
      </c>
      <c r="E2690" t="s">
        <v>1858</v>
      </c>
      <c r="F2690" t="s">
        <v>1748</v>
      </c>
      <c r="H2690" s="165" t="str">
        <f>IF(ISBLANK('Q 5'!I254),"",IF('Q 5'!I254="&lt;please select&gt;","",'Q 5'!I254))</f>
        <v/>
      </c>
    </row>
    <row r="2691" spans="1:8" x14ac:dyDescent="0.3">
      <c r="A2691" t="s">
        <v>1847</v>
      </c>
      <c r="B2691" t="s">
        <v>1855</v>
      </c>
      <c r="C2691">
        <v>53</v>
      </c>
      <c r="D2691" t="s">
        <v>1447</v>
      </c>
      <c r="E2691" t="s">
        <v>1858</v>
      </c>
      <c r="F2691" t="s">
        <v>1748</v>
      </c>
      <c r="H2691" s="165" t="str">
        <f>IF(ISBLANK('Q 5'!I255),"",IF('Q 5'!I255="&lt;please select&gt;","",'Q 5'!I255))</f>
        <v/>
      </c>
    </row>
    <row r="2692" spans="1:8" x14ac:dyDescent="0.3">
      <c r="A2692" t="s">
        <v>1847</v>
      </c>
      <c r="B2692" t="s">
        <v>1855</v>
      </c>
      <c r="C2692">
        <v>54</v>
      </c>
      <c r="D2692" t="s">
        <v>1447</v>
      </c>
      <c r="E2692" t="s">
        <v>1858</v>
      </c>
      <c r="F2692" t="s">
        <v>1748</v>
      </c>
      <c r="H2692" s="165" t="str">
        <f>IF(ISBLANK('Q 5'!I256),"",IF('Q 5'!I256="&lt;please select&gt;","",'Q 5'!I256))</f>
        <v/>
      </c>
    </row>
    <row r="2693" spans="1:8" x14ac:dyDescent="0.3">
      <c r="A2693" t="s">
        <v>1847</v>
      </c>
      <c r="B2693" t="s">
        <v>1855</v>
      </c>
      <c r="C2693">
        <v>55</v>
      </c>
      <c r="D2693" t="s">
        <v>1447</v>
      </c>
      <c r="E2693" t="s">
        <v>1858</v>
      </c>
      <c r="F2693" t="s">
        <v>1748</v>
      </c>
      <c r="H2693" s="165" t="str">
        <f>IF(ISBLANK('Q 5'!I257),"",IF('Q 5'!I257="&lt;please select&gt;","",'Q 5'!I257))</f>
        <v/>
      </c>
    </row>
    <row r="2694" spans="1:8" x14ac:dyDescent="0.3">
      <c r="A2694" t="s">
        <v>1847</v>
      </c>
      <c r="B2694" t="s">
        <v>1855</v>
      </c>
      <c r="C2694">
        <v>56</v>
      </c>
      <c r="D2694" t="s">
        <v>1447</v>
      </c>
      <c r="E2694" t="s">
        <v>1858</v>
      </c>
      <c r="F2694" t="s">
        <v>1748</v>
      </c>
      <c r="H2694" s="165" t="str">
        <f>IF(ISBLANK('Q 5'!I258),"",IF('Q 5'!I258="&lt;please select&gt;","",'Q 5'!I258))</f>
        <v/>
      </c>
    </row>
    <row r="2695" spans="1:8" x14ac:dyDescent="0.3">
      <c r="A2695" t="s">
        <v>1847</v>
      </c>
      <c r="B2695" t="s">
        <v>1855</v>
      </c>
      <c r="C2695">
        <v>57</v>
      </c>
      <c r="D2695" t="s">
        <v>1447</v>
      </c>
      <c r="E2695" t="s">
        <v>1858</v>
      </c>
      <c r="F2695" t="s">
        <v>1748</v>
      </c>
      <c r="H2695" s="165" t="str">
        <f>IF(ISBLANK('Q 5'!I259),"",IF('Q 5'!I259="&lt;please select&gt;","",'Q 5'!I259))</f>
        <v/>
      </c>
    </row>
    <row r="2696" spans="1:8" x14ac:dyDescent="0.3">
      <c r="A2696" t="s">
        <v>1847</v>
      </c>
      <c r="B2696" t="s">
        <v>1855</v>
      </c>
      <c r="C2696">
        <v>58</v>
      </c>
      <c r="D2696" t="s">
        <v>1447</v>
      </c>
      <c r="E2696" t="s">
        <v>1858</v>
      </c>
      <c r="F2696" t="s">
        <v>1748</v>
      </c>
      <c r="H2696" s="165" t="str">
        <f>IF(ISBLANK('Q 5'!I260),"",IF('Q 5'!I260="&lt;please select&gt;","",'Q 5'!I260))</f>
        <v/>
      </c>
    </row>
    <row r="2697" spans="1:8" x14ac:dyDescent="0.3">
      <c r="A2697" t="s">
        <v>1847</v>
      </c>
      <c r="B2697" t="s">
        <v>1855</v>
      </c>
      <c r="C2697">
        <v>59</v>
      </c>
      <c r="D2697" t="s">
        <v>1447</v>
      </c>
      <c r="E2697" t="s">
        <v>1858</v>
      </c>
      <c r="F2697" t="s">
        <v>1748</v>
      </c>
      <c r="H2697" s="165" t="str">
        <f>IF(ISBLANK('Q 5'!I261),"",IF('Q 5'!I261="&lt;please select&gt;","",'Q 5'!I261))</f>
        <v/>
      </c>
    </row>
    <row r="2698" spans="1:8" x14ac:dyDescent="0.3">
      <c r="A2698" t="s">
        <v>1847</v>
      </c>
      <c r="B2698" t="s">
        <v>1855</v>
      </c>
      <c r="C2698">
        <v>60</v>
      </c>
      <c r="D2698" t="s">
        <v>1447</v>
      </c>
      <c r="E2698" t="s">
        <v>1858</v>
      </c>
      <c r="F2698" t="s">
        <v>1748</v>
      </c>
      <c r="H2698" s="165" t="str">
        <f>IF(ISBLANK('Q 5'!I262),"",IF('Q 5'!I262="&lt;please select&gt;","",'Q 5'!I262))</f>
        <v/>
      </c>
    </row>
    <row r="2699" spans="1:8" x14ac:dyDescent="0.3">
      <c r="A2699" t="s">
        <v>1847</v>
      </c>
      <c r="B2699" t="s">
        <v>1855</v>
      </c>
      <c r="C2699">
        <v>61</v>
      </c>
      <c r="D2699" t="s">
        <v>1447</v>
      </c>
      <c r="E2699" t="s">
        <v>1858</v>
      </c>
      <c r="F2699" t="s">
        <v>1748</v>
      </c>
      <c r="H2699" s="165" t="str">
        <f>IF(ISBLANK('Q 5'!I263),"",IF('Q 5'!I263="&lt;please select&gt;","",'Q 5'!I263))</f>
        <v/>
      </c>
    </row>
    <row r="2700" spans="1:8" x14ac:dyDescent="0.3">
      <c r="A2700" t="s">
        <v>1847</v>
      </c>
      <c r="B2700" t="s">
        <v>1855</v>
      </c>
      <c r="C2700">
        <v>62</v>
      </c>
      <c r="D2700" t="s">
        <v>1447</v>
      </c>
      <c r="E2700" t="s">
        <v>1858</v>
      </c>
      <c r="F2700" t="s">
        <v>1748</v>
      </c>
      <c r="H2700" s="165" t="str">
        <f>IF(ISBLANK('Q 5'!I264),"",IF('Q 5'!I264="&lt;please select&gt;","",'Q 5'!I264))</f>
        <v/>
      </c>
    </row>
    <row r="2701" spans="1:8" x14ac:dyDescent="0.3">
      <c r="A2701" t="s">
        <v>1847</v>
      </c>
      <c r="B2701" t="s">
        <v>1855</v>
      </c>
      <c r="C2701">
        <v>63</v>
      </c>
      <c r="D2701" t="s">
        <v>1447</v>
      </c>
      <c r="E2701" t="s">
        <v>1858</v>
      </c>
      <c r="F2701" t="s">
        <v>1748</v>
      </c>
      <c r="H2701" s="165" t="str">
        <f>IF(ISBLANK('Q 5'!I265),"",IF('Q 5'!I265="&lt;please select&gt;","",'Q 5'!I265))</f>
        <v/>
      </c>
    </row>
    <row r="2702" spans="1:8" x14ac:dyDescent="0.3">
      <c r="A2702" t="s">
        <v>1847</v>
      </c>
      <c r="B2702" t="s">
        <v>1855</v>
      </c>
      <c r="C2702">
        <v>64</v>
      </c>
      <c r="D2702" t="s">
        <v>1447</v>
      </c>
      <c r="E2702" t="s">
        <v>1858</v>
      </c>
      <c r="F2702" t="s">
        <v>1748</v>
      </c>
      <c r="H2702" s="165" t="str">
        <f>IF(ISBLANK('Q 5'!I266),"",IF('Q 5'!I266="&lt;please select&gt;","",'Q 5'!I266))</f>
        <v/>
      </c>
    </row>
    <row r="2703" spans="1:8" x14ac:dyDescent="0.3">
      <c r="A2703" t="s">
        <v>1847</v>
      </c>
      <c r="B2703" t="s">
        <v>1855</v>
      </c>
      <c r="C2703">
        <v>65</v>
      </c>
      <c r="D2703" t="s">
        <v>1447</v>
      </c>
      <c r="E2703" t="s">
        <v>1858</v>
      </c>
      <c r="F2703" t="s">
        <v>1748</v>
      </c>
      <c r="H2703" s="165" t="str">
        <f>IF(ISBLANK('Q 5'!I267),"",IF('Q 5'!I267="&lt;please select&gt;","",'Q 5'!I267))</f>
        <v/>
      </c>
    </row>
    <row r="2704" spans="1:8" x14ac:dyDescent="0.3">
      <c r="A2704" t="s">
        <v>1847</v>
      </c>
      <c r="B2704" t="s">
        <v>1855</v>
      </c>
      <c r="C2704">
        <v>66</v>
      </c>
      <c r="D2704" t="s">
        <v>1447</v>
      </c>
      <c r="E2704" t="s">
        <v>1858</v>
      </c>
      <c r="F2704" t="s">
        <v>1748</v>
      </c>
      <c r="H2704" s="165" t="str">
        <f>IF(ISBLANK('Q 5'!I268),"",IF('Q 5'!I268="&lt;please select&gt;","",'Q 5'!I268))</f>
        <v/>
      </c>
    </row>
    <row r="2705" spans="1:8" x14ac:dyDescent="0.3">
      <c r="A2705" t="s">
        <v>1847</v>
      </c>
      <c r="B2705" t="s">
        <v>1855</v>
      </c>
      <c r="C2705">
        <v>67</v>
      </c>
      <c r="D2705" t="s">
        <v>1447</v>
      </c>
      <c r="E2705" t="s">
        <v>1858</v>
      </c>
      <c r="F2705" t="s">
        <v>1748</v>
      </c>
      <c r="H2705" s="165" t="str">
        <f>IF(ISBLANK('Q 5'!I269),"",IF('Q 5'!I269="&lt;please select&gt;","",'Q 5'!I269))</f>
        <v/>
      </c>
    </row>
    <row r="2706" spans="1:8" x14ac:dyDescent="0.3">
      <c r="A2706" t="s">
        <v>1847</v>
      </c>
      <c r="B2706" t="s">
        <v>1855</v>
      </c>
      <c r="C2706">
        <v>68</v>
      </c>
      <c r="D2706" t="s">
        <v>1447</v>
      </c>
      <c r="E2706" t="s">
        <v>1858</v>
      </c>
      <c r="F2706" t="s">
        <v>1748</v>
      </c>
      <c r="H2706" s="165" t="str">
        <f>IF(ISBLANK('Q 5'!I270),"",IF('Q 5'!I270="&lt;please select&gt;","",'Q 5'!I270))</f>
        <v/>
      </c>
    </row>
    <row r="2707" spans="1:8" x14ac:dyDescent="0.3">
      <c r="A2707" t="s">
        <v>1847</v>
      </c>
      <c r="B2707" t="s">
        <v>1855</v>
      </c>
      <c r="C2707">
        <v>69</v>
      </c>
      <c r="D2707" t="s">
        <v>1447</v>
      </c>
      <c r="E2707" t="s">
        <v>1858</v>
      </c>
      <c r="F2707" t="s">
        <v>1748</v>
      </c>
      <c r="H2707" s="165" t="str">
        <f>IF(ISBLANK('Q 5'!I271),"",IF('Q 5'!I271="&lt;please select&gt;","",'Q 5'!I271))</f>
        <v/>
      </c>
    </row>
    <row r="2708" spans="1:8" x14ac:dyDescent="0.3">
      <c r="A2708" t="s">
        <v>1847</v>
      </c>
      <c r="B2708" t="s">
        <v>1855</v>
      </c>
      <c r="C2708">
        <v>70</v>
      </c>
      <c r="D2708" t="s">
        <v>1447</v>
      </c>
      <c r="E2708" t="s">
        <v>1858</v>
      </c>
      <c r="F2708" t="s">
        <v>1748</v>
      </c>
      <c r="H2708" s="165" t="str">
        <f>IF(ISBLANK('Q 5'!I272),"",IF('Q 5'!I272="&lt;please select&gt;","",'Q 5'!I272))</f>
        <v/>
      </c>
    </row>
    <row r="2709" spans="1:8" x14ac:dyDescent="0.3">
      <c r="A2709" t="s">
        <v>1847</v>
      </c>
      <c r="B2709" t="s">
        <v>1855</v>
      </c>
      <c r="C2709">
        <v>71</v>
      </c>
      <c r="D2709" t="s">
        <v>1447</v>
      </c>
      <c r="E2709" t="s">
        <v>1858</v>
      </c>
      <c r="F2709" t="s">
        <v>1748</v>
      </c>
      <c r="H2709" s="165" t="str">
        <f>IF(ISBLANK('Q 5'!I273),"",IF('Q 5'!I273="&lt;please select&gt;","",'Q 5'!I273))</f>
        <v/>
      </c>
    </row>
    <row r="2710" spans="1:8" x14ac:dyDescent="0.3">
      <c r="A2710" t="s">
        <v>1847</v>
      </c>
      <c r="B2710" t="s">
        <v>1855</v>
      </c>
      <c r="C2710">
        <v>72</v>
      </c>
      <c r="D2710" t="s">
        <v>1447</v>
      </c>
      <c r="E2710" t="s">
        <v>1858</v>
      </c>
      <c r="F2710" t="s">
        <v>1748</v>
      </c>
      <c r="H2710" s="165" t="str">
        <f>IF(ISBLANK('Q 5'!I274),"",IF('Q 5'!I274="&lt;please select&gt;","",'Q 5'!I274))</f>
        <v/>
      </c>
    </row>
    <row r="2711" spans="1:8" x14ac:dyDescent="0.3">
      <c r="A2711" t="s">
        <v>1847</v>
      </c>
      <c r="B2711" t="s">
        <v>1855</v>
      </c>
      <c r="C2711">
        <v>73</v>
      </c>
      <c r="D2711" t="s">
        <v>1447</v>
      </c>
      <c r="E2711" t="s">
        <v>1858</v>
      </c>
      <c r="F2711" t="s">
        <v>1748</v>
      </c>
      <c r="H2711" s="165" t="str">
        <f>IF(ISBLANK('Q 5'!I275),"",IF('Q 5'!I275="&lt;please select&gt;","",'Q 5'!I275))</f>
        <v/>
      </c>
    </row>
    <row r="2712" spans="1:8" x14ac:dyDescent="0.3">
      <c r="A2712" t="s">
        <v>1847</v>
      </c>
      <c r="B2712" t="s">
        <v>1855</v>
      </c>
      <c r="C2712">
        <v>74</v>
      </c>
      <c r="D2712" t="s">
        <v>1447</v>
      </c>
      <c r="E2712" t="s">
        <v>1858</v>
      </c>
      <c r="F2712" t="s">
        <v>1748</v>
      </c>
      <c r="H2712" s="165" t="str">
        <f>IF(ISBLANK('Q 5'!I276),"",IF('Q 5'!I276="&lt;please select&gt;","",'Q 5'!I276))</f>
        <v/>
      </c>
    </row>
    <row r="2713" spans="1:8" x14ac:dyDescent="0.3">
      <c r="A2713" t="s">
        <v>1847</v>
      </c>
      <c r="B2713" t="s">
        <v>1855</v>
      </c>
      <c r="C2713">
        <v>75</v>
      </c>
      <c r="D2713" t="s">
        <v>1447</v>
      </c>
      <c r="E2713" t="s">
        <v>1858</v>
      </c>
      <c r="F2713" t="s">
        <v>1748</v>
      </c>
      <c r="H2713" s="165" t="str">
        <f>IF(ISBLANK('Q 5'!I277),"",IF('Q 5'!I277="&lt;please select&gt;","",'Q 5'!I277))</f>
        <v/>
      </c>
    </row>
    <row r="2714" spans="1:8" x14ac:dyDescent="0.3">
      <c r="A2714" t="s">
        <v>1847</v>
      </c>
      <c r="B2714" t="s">
        <v>1855</v>
      </c>
      <c r="C2714">
        <v>76</v>
      </c>
      <c r="D2714" t="s">
        <v>1447</v>
      </c>
      <c r="E2714" t="s">
        <v>1858</v>
      </c>
      <c r="F2714" t="s">
        <v>1748</v>
      </c>
      <c r="H2714" s="165" t="str">
        <f>IF(ISBLANK('Q 5'!I278),"",IF('Q 5'!I278="&lt;please select&gt;","",'Q 5'!I278))</f>
        <v/>
      </c>
    </row>
    <row r="2715" spans="1:8" x14ac:dyDescent="0.3">
      <c r="A2715" t="s">
        <v>1847</v>
      </c>
      <c r="B2715" t="s">
        <v>1855</v>
      </c>
      <c r="C2715">
        <v>77</v>
      </c>
      <c r="D2715" t="s">
        <v>1447</v>
      </c>
      <c r="E2715" t="s">
        <v>1858</v>
      </c>
      <c r="F2715" t="s">
        <v>1748</v>
      </c>
      <c r="H2715" s="165" t="str">
        <f>IF(ISBLANK('Q 5'!I279),"",IF('Q 5'!I279="&lt;please select&gt;","",'Q 5'!I279))</f>
        <v/>
      </c>
    </row>
    <row r="2716" spans="1:8" x14ac:dyDescent="0.3">
      <c r="A2716" t="s">
        <v>1847</v>
      </c>
      <c r="B2716" t="s">
        <v>1855</v>
      </c>
      <c r="C2716">
        <v>78</v>
      </c>
      <c r="D2716" t="s">
        <v>1447</v>
      </c>
      <c r="E2716" t="s">
        <v>1858</v>
      </c>
      <c r="F2716" t="s">
        <v>1748</v>
      </c>
      <c r="H2716" s="165" t="str">
        <f>IF(ISBLANK('Q 5'!I280),"",IF('Q 5'!I280="&lt;please select&gt;","",'Q 5'!I280))</f>
        <v/>
      </c>
    </row>
    <row r="2717" spans="1:8" x14ac:dyDescent="0.3">
      <c r="A2717" t="s">
        <v>1847</v>
      </c>
      <c r="B2717" t="s">
        <v>1855</v>
      </c>
      <c r="C2717">
        <v>79</v>
      </c>
      <c r="D2717" t="s">
        <v>1447</v>
      </c>
      <c r="E2717" t="s">
        <v>1858</v>
      </c>
      <c r="F2717" t="s">
        <v>1748</v>
      </c>
      <c r="H2717" s="165" t="str">
        <f>IF(ISBLANK('Q 5'!I281),"",IF('Q 5'!I281="&lt;please select&gt;","",'Q 5'!I281))</f>
        <v/>
      </c>
    </row>
    <row r="2718" spans="1:8" x14ac:dyDescent="0.3">
      <c r="A2718" t="s">
        <v>1847</v>
      </c>
      <c r="B2718" t="s">
        <v>1855</v>
      </c>
      <c r="C2718">
        <v>80</v>
      </c>
      <c r="D2718" t="s">
        <v>1447</v>
      </c>
      <c r="E2718" t="s">
        <v>1858</v>
      </c>
      <c r="F2718" t="s">
        <v>1748</v>
      </c>
      <c r="H2718" s="165" t="str">
        <f>IF(ISBLANK('Q 5'!I282),"",IF('Q 5'!I282="&lt;please select&gt;","",'Q 5'!I282))</f>
        <v/>
      </c>
    </row>
    <row r="2719" spans="1:8" x14ac:dyDescent="0.3">
      <c r="A2719" t="s">
        <v>1847</v>
      </c>
      <c r="B2719" t="s">
        <v>1855</v>
      </c>
      <c r="C2719">
        <v>81</v>
      </c>
      <c r="D2719" t="s">
        <v>1447</v>
      </c>
      <c r="E2719" t="s">
        <v>1858</v>
      </c>
      <c r="F2719" t="s">
        <v>1748</v>
      </c>
      <c r="H2719" s="165" t="str">
        <f>IF(ISBLANK('Q 5'!I283),"",IF('Q 5'!I283="&lt;please select&gt;","",'Q 5'!I283))</f>
        <v/>
      </c>
    </row>
    <row r="2720" spans="1:8" x14ac:dyDescent="0.3">
      <c r="A2720" t="s">
        <v>1847</v>
      </c>
      <c r="B2720" t="s">
        <v>1855</v>
      </c>
      <c r="C2720">
        <v>82</v>
      </c>
      <c r="D2720" t="s">
        <v>1447</v>
      </c>
      <c r="E2720" t="s">
        <v>1858</v>
      </c>
      <c r="F2720" t="s">
        <v>1748</v>
      </c>
      <c r="H2720" s="165" t="str">
        <f>IF(ISBLANK('Q 5'!I284),"",IF('Q 5'!I284="&lt;please select&gt;","",'Q 5'!I284))</f>
        <v/>
      </c>
    </row>
    <row r="2721" spans="1:8" x14ac:dyDescent="0.3">
      <c r="A2721" t="s">
        <v>1847</v>
      </c>
      <c r="B2721" t="s">
        <v>1855</v>
      </c>
      <c r="C2721">
        <v>83</v>
      </c>
      <c r="D2721" t="s">
        <v>1447</v>
      </c>
      <c r="E2721" t="s">
        <v>1858</v>
      </c>
      <c r="F2721" t="s">
        <v>1748</v>
      </c>
      <c r="H2721" s="165" t="str">
        <f>IF(ISBLANK('Q 5'!I285),"",IF('Q 5'!I285="&lt;please select&gt;","",'Q 5'!I285))</f>
        <v/>
      </c>
    </row>
    <row r="2722" spans="1:8" x14ac:dyDescent="0.3">
      <c r="A2722" t="s">
        <v>1847</v>
      </c>
      <c r="B2722" t="s">
        <v>1855</v>
      </c>
      <c r="C2722">
        <v>84</v>
      </c>
      <c r="D2722" t="s">
        <v>1447</v>
      </c>
      <c r="E2722" t="s">
        <v>1858</v>
      </c>
      <c r="F2722" t="s">
        <v>1748</v>
      </c>
      <c r="H2722" s="165" t="str">
        <f>IF(ISBLANK('Q 5'!I286),"",IF('Q 5'!I286="&lt;please select&gt;","",'Q 5'!I286))</f>
        <v/>
      </c>
    </row>
    <row r="2723" spans="1:8" x14ac:dyDescent="0.3">
      <c r="A2723" t="s">
        <v>1847</v>
      </c>
      <c r="B2723" t="s">
        <v>1855</v>
      </c>
      <c r="C2723">
        <v>85</v>
      </c>
      <c r="D2723" t="s">
        <v>1447</v>
      </c>
      <c r="E2723" t="s">
        <v>1858</v>
      </c>
      <c r="F2723" t="s">
        <v>1748</v>
      </c>
      <c r="H2723" s="165" t="str">
        <f>IF(ISBLANK('Q 5'!I287),"",IF('Q 5'!I287="&lt;please select&gt;","",'Q 5'!I287))</f>
        <v/>
      </c>
    </row>
    <row r="2724" spans="1:8" x14ac:dyDescent="0.3">
      <c r="A2724" t="s">
        <v>1847</v>
      </c>
      <c r="B2724" t="s">
        <v>1855</v>
      </c>
      <c r="C2724">
        <v>86</v>
      </c>
      <c r="D2724" t="s">
        <v>1447</v>
      </c>
      <c r="E2724" t="s">
        <v>1858</v>
      </c>
      <c r="F2724" t="s">
        <v>1748</v>
      </c>
      <c r="H2724" s="165" t="str">
        <f>IF(ISBLANK('Q 5'!I288),"",IF('Q 5'!I288="&lt;please select&gt;","",'Q 5'!I288))</f>
        <v/>
      </c>
    </row>
    <row r="2725" spans="1:8" x14ac:dyDescent="0.3">
      <c r="A2725" t="s">
        <v>1847</v>
      </c>
      <c r="B2725" t="s">
        <v>1855</v>
      </c>
      <c r="C2725">
        <v>87</v>
      </c>
      <c r="D2725" t="s">
        <v>1447</v>
      </c>
      <c r="E2725" t="s">
        <v>1858</v>
      </c>
      <c r="F2725" t="s">
        <v>1748</v>
      </c>
      <c r="H2725" s="165" t="str">
        <f>IF(ISBLANK('Q 5'!I289),"",IF('Q 5'!I289="&lt;please select&gt;","",'Q 5'!I289))</f>
        <v/>
      </c>
    </row>
    <row r="2726" spans="1:8" x14ac:dyDescent="0.3">
      <c r="A2726" t="s">
        <v>1847</v>
      </c>
      <c r="B2726" t="s">
        <v>1855</v>
      </c>
      <c r="C2726">
        <v>88</v>
      </c>
      <c r="D2726" t="s">
        <v>1447</v>
      </c>
      <c r="E2726" t="s">
        <v>1858</v>
      </c>
      <c r="F2726" t="s">
        <v>1748</v>
      </c>
      <c r="H2726" s="165" t="str">
        <f>IF(ISBLANK('Q 5'!I290),"",IF('Q 5'!I290="&lt;please select&gt;","",'Q 5'!I290))</f>
        <v/>
      </c>
    </row>
    <row r="2727" spans="1:8" x14ac:dyDescent="0.3">
      <c r="A2727" t="s">
        <v>1847</v>
      </c>
      <c r="B2727" t="s">
        <v>1855</v>
      </c>
      <c r="C2727">
        <v>89</v>
      </c>
      <c r="D2727" t="s">
        <v>1447</v>
      </c>
      <c r="E2727" t="s">
        <v>1858</v>
      </c>
      <c r="F2727" t="s">
        <v>1748</v>
      </c>
      <c r="H2727" s="165" t="str">
        <f>IF(ISBLANK('Q 5'!I291),"",IF('Q 5'!I291="&lt;please select&gt;","",'Q 5'!I291))</f>
        <v/>
      </c>
    </row>
    <row r="2728" spans="1:8" x14ac:dyDescent="0.3">
      <c r="A2728" t="s">
        <v>1847</v>
      </c>
      <c r="B2728" t="s">
        <v>1855</v>
      </c>
      <c r="C2728">
        <v>90</v>
      </c>
      <c r="D2728" t="s">
        <v>1447</v>
      </c>
      <c r="E2728" t="s">
        <v>1858</v>
      </c>
      <c r="F2728" t="s">
        <v>1748</v>
      </c>
      <c r="H2728" s="165" t="str">
        <f>IF(ISBLANK('Q 5'!I292),"",IF('Q 5'!I292="&lt;please select&gt;","",'Q 5'!I292))</f>
        <v/>
      </c>
    </row>
    <row r="2729" spans="1:8" x14ac:dyDescent="0.3">
      <c r="A2729" t="s">
        <v>1847</v>
      </c>
      <c r="B2729" t="s">
        <v>1855</v>
      </c>
      <c r="C2729">
        <v>91</v>
      </c>
      <c r="D2729" t="s">
        <v>1447</v>
      </c>
      <c r="E2729" t="s">
        <v>1858</v>
      </c>
      <c r="F2729" t="s">
        <v>1748</v>
      </c>
      <c r="H2729" s="165" t="str">
        <f>IF(ISBLANK('Q 5'!I293),"",IF('Q 5'!I293="&lt;please select&gt;","",'Q 5'!I293))</f>
        <v/>
      </c>
    </row>
    <row r="2730" spans="1:8" x14ac:dyDescent="0.3">
      <c r="A2730" t="s">
        <v>1847</v>
      </c>
      <c r="B2730" t="s">
        <v>1855</v>
      </c>
      <c r="C2730">
        <v>92</v>
      </c>
      <c r="D2730" t="s">
        <v>1447</v>
      </c>
      <c r="E2730" t="s">
        <v>1858</v>
      </c>
      <c r="F2730" t="s">
        <v>1748</v>
      </c>
      <c r="H2730" s="165" t="str">
        <f>IF(ISBLANK('Q 5'!I294),"",IF('Q 5'!I294="&lt;please select&gt;","",'Q 5'!I294))</f>
        <v/>
      </c>
    </row>
    <row r="2731" spans="1:8" x14ac:dyDescent="0.3">
      <c r="A2731" t="s">
        <v>1847</v>
      </c>
      <c r="B2731" t="s">
        <v>1855</v>
      </c>
      <c r="C2731">
        <v>93</v>
      </c>
      <c r="D2731" t="s">
        <v>1447</v>
      </c>
      <c r="E2731" t="s">
        <v>1858</v>
      </c>
      <c r="F2731" t="s">
        <v>1748</v>
      </c>
      <c r="H2731" s="165" t="str">
        <f>IF(ISBLANK('Q 5'!I295),"",IF('Q 5'!I295="&lt;please select&gt;","",'Q 5'!I295))</f>
        <v/>
      </c>
    </row>
    <row r="2732" spans="1:8" x14ac:dyDescent="0.3">
      <c r="A2732" t="s">
        <v>1847</v>
      </c>
      <c r="B2732" t="s">
        <v>1855</v>
      </c>
      <c r="C2732">
        <v>94</v>
      </c>
      <c r="D2732" t="s">
        <v>1447</v>
      </c>
      <c r="E2732" t="s">
        <v>1858</v>
      </c>
      <c r="F2732" t="s">
        <v>1748</v>
      </c>
      <c r="H2732" s="165" t="str">
        <f>IF(ISBLANK('Q 5'!I296),"",IF('Q 5'!I296="&lt;please select&gt;","",'Q 5'!I296))</f>
        <v/>
      </c>
    </row>
    <row r="2733" spans="1:8" x14ac:dyDescent="0.3">
      <c r="A2733" t="s">
        <v>1847</v>
      </c>
      <c r="B2733" t="s">
        <v>1855</v>
      </c>
      <c r="C2733">
        <v>95</v>
      </c>
      <c r="D2733" t="s">
        <v>1447</v>
      </c>
      <c r="E2733" t="s">
        <v>1858</v>
      </c>
      <c r="F2733" t="s">
        <v>1748</v>
      </c>
      <c r="H2733" s="165" t="str">
        <f>IF(ISBLANK('Q 5'!I297),"",IF('Q 5'!I297="&lt;please select&gt;","",'Q 5'!I297))</f>
        <v/>
      </c>
    </row>
    <row r="2734" spans="1:8" x14ac:dyDescent="0.3">
      <c r="A2734" t="s">
        <v>1847</v>
      </c>
      <c r="B2734" t="s">
        <v>1855</v>
      </c>
      <c r="C2734">
        <v>96</v>
      </c>
      <c r="D2734" t="s">
        <v>1447</v>
      </c>
      <c r="E2734" t="s">
        <v>1858</v>
      </c>
      <c r="F2734" t="s">
        <v>1748</v>
      </c>
      <c r="H2734" s="165" t="str">
        <f>IF(ISBLANK('Q 5'!I298),"",IF('Q 5'!I298="&lt;please select&gt;","",'Q 5'!I298))</f>
        <v/>
      </c>
    </row>
    <row r="2735" spans="1:8" x14ac:dyDescent="0.3">
      <c r="A2735" t="s">
        <v>1847</v>
      </c>
      <c r="B2735" t="s">
        <v>1855</v>
      </c>
      <c r="C2735">
        <v>97</v>
      </c>
      <c r="D2735" t="s">
        <v>1447</v>
      </c>
      <c r="E2735" t="s">
        <v>1858</v>
      </c>
      <c r="F2735" t="s">
        <v>1748</v>
      </c>
      <c r="H2735" s="165" t="str">
        <f>IF(ISBLANK('Q 5'!I299),"",IF('Q 5'!I299="&lt;please select&gt;","",'Q 5'!I299))</f>
        <v/>
      </c>
    </row>
    <row r="2736" spans="1:8" x14ac:dyDescent="0.3">
      <c r="A2736" t="s">
        <v>1847</v>
      </c>
      <c r="B2736" t="s">
        <v>1855</v>
      </c>
      <c r="C2736">
        <v>98</v>
      </c>
      <c r="D2736" t="s">
        <v>1447</v>
      </c>
      <c r="E2736" t="s">
        <v>1858</v>
      </c>
      <c r="F2736" t="s">
        <v>1748</v>
      </c>
      <c r="H2736" s="165" t="str">
        <f>IF(ISBLANK('Q 5'!I300),"",IF('Q 5'!I300="&lt;please select&gt;","",'Q 5'!I300))</f>
        <v/>
      </c>
    </row>
    <row r="2737" spans="1:8" x14ac:dyDescent="0.3">
      <c r="A2737" t="s">
        <v>1847</v>
      </c>
      <c r="B2737" t="s">
        <v>1855</v>
      </c>
      <c r="C2737">
        <v>99</v>
      </c>
      <c r="D2737" t="s">
        <v>1447</v>
      </c>
      <c r="E2737" t="s">
        <v>1858</v>
      </c>
      <c r="F2737" t="s">
        <v>1748</v>
      </c>
      <c r="H2737" s="165" t="str">
        <f>IF(ISBLANK('Q 5'!I301),"",IF('Q 5'!I301="&lt;please select&gt;","",'Q 5'!I301))</f>
        <v/>
      </c>
    </row>
    <row r="2738" spans="1:8" x14ac:dyDescent="0.3">
      <c r="A2738" t="s">
        <v>1847</v>
      </c>
      <c r="B2738" t="s">
        <v>1855</v>
      </c>
      <c r="C2738">
        <v>100</v>
      </c>
      <c r="D2738" t="s">
        <v>1447</v>
      </c>
      <c r="E2738" t="s">
        <v>1858</v>
      </c>
      <c r="F2738" t="s">
        <v>1748</v>
      </c>
      <c r="H2738" s="165" t="str">
        <f>IF(ISBLANK('Q 5'!I302),"",IF('Q 5'!I302="&lt;please select&gt;","",'Q 5'!I302))</f>
        <v/>
      </c>
    </row>
    <row r="2739" spans="1:8" x14ac:dyDescent="0.3">
      <c r="A2739" t="s">
        <v>1847</v>
      </c>
      <c r="B2739" t="s">
        <v>1855</v>
      </c>
      <c r="C2739">
        <v>101</v>
      </c>
      <c r="D2739" t="s">
        <v>1447</v>
      </c>
      <c r="E2739" t="s">
        <v>1858</v>
      </c>
      <c r="F2739" t="s">
        <v>1748</v>
      </c>
      <c r="H2739" s="165" t="str">
        <f>IF(ISBLANK('Q 5'!I303),"",IF('Q 5'!I303="&lt;please select&gt;","",'Q 5'!I303))</f>
        <v/>
      </c>
    </row>
    <row r="2740" spans="1:8" x14ac:dyDescent="0.3">
      <c r="A2740" t="s">
        <v>1847</v>
      </c>
      <c r="B2740" t="s">
        <v>1855</v>
      </c>
      <c r="C2740">
        <v>102</v>
      </c>
      <c r="D2740" t="s">
        <v>1447</v>
      </c>
      <c r="E2740" t="s">
        <v>1858</v>
      </c>
      <c r="F2740" t="s">
        <v>1748</v>
      </c>
      <c r="H2740" s="165" t="str">
        <f>IF(ISBLANK('Q 5'!I304),"",IF('Q 5'!I304="&lt;please select&gt;","",'Q 5'!I304))</f>
        <v/>
      </c>
    </row>
    <row r="2741" spans="1:8" x14ac:dyDescent="0.3">
      <c r="A2741" t="s">
        <v>1847</v>
      </c>
      <c r="B2741" t="s">
        <v>1855</v>
      </c>
      <c r="C2741">
        <v>103</v>
      </c>
      <c r="D2741" t="s">
        <v>1447</v>
      </c>
      <c r="E2741" t="s">
        <v>1858</v>
      </c>
      <c r="F2741" t="s">
        <v>1748</v>
      </c>
      <c r="H2741" s="165" t="str">
        <f>IF(ISBLANK('Q 5'!I305),"",IF('Q 5'!I305="&lt;please select&gt;","",'Q 5'!I305))</f>
        <v/>
      </c>
    </row>
    <row r="2742" spans="1:8" x14ac:dyDescent="0.3">
      <c r="A2742" t="s">
        <v>1847</v>
      </c>
      <c r="B2742" t="s">
        <v>1855</v>
      </c>
      <c r="C2742">
        <v>104</v>
      </c>
      <c r="D2742" t="s">
        <v>1447</v>
      </c>
      <c r="E2742" t="s">
        <v>1858</v>
      </c>
      <c r="F2742" t="s">
        <v>1748</v>
      </c>
      <c r="H2742" s="165" t="str">
        <f>IF(ISBLANK('Q 5'!I306),"",IF('Q 5'!I306="&lt;please select&gt;","",'Q 5'!I306))</f>
        <v/>
      </c>
    </row>
    <row r="2743" spans="1:8" x14ac:dyDescent="0.3">
      <c r="A2743" t="s">
        <v>1847</v>
      </c>
      <c r="B2743" t="s">
        <v>1855</v>
      </c>
      <c r="C2743">
        <v>105</v>
      </c>
      <c r="D2743" t="s">
        <v>1447</v>
      </c>
      <c r="E2743" t="s">
        <v>1858</v>
      </c>
      <c r="F2743" t="s">
        <v>1748</v>
      </c>
      <c r="H2743" s="165" t="str">
        <f>IF(ISBLANK('Q 5'!I307),"",IF('Q 5'!I307="&lt;please select&gt;","",'Q 5'!I307))</f>
        <v/>
      </c>
    </row>
    <row r="2744" spans="1:8" x14ac:dyDescent="0.3">
      <c r="A2744" t="s">
        <v>1847</v>
      </c>
      <c r="B2744" t="s">
        <v>1855</v>
      </c>
      <c r="C2744">
        <v>106</v>
      </c>
      <c r="D2744" t="s">
        <v>1447</v>
      </c>
      <c r="E2744" t="s">
        <v>1858</v>
      </c>
      <c r="F2744" t="s">
        <v>1748</v>
      </c>
      <c r="H2744" s="165" t="str">
        <f>IF(ISBLANK('Q 5'!I308),"",IF('Q 5'!I308="&lt;please select&gt;","",'Q 5'!I308))</f>
        <v/>
      </c>
    </row>
    <row r="2745" spans="1:8" x14ac:dyDescent="0.3">
      <c r="A2745" t="s">
        <v>1847</v>
      </c>
      <c r="B2745" t="s">
        <v>1855</v>
      </c>
      <c r="C2745">
        <v>107</v>
      </c>
      <c r="D2745" t="s">
        <v>1447</v>
      </c>
      <c r="E2745" t="s">
        <v>1858</v>
      </c>
      <c r="F2745" t="s">
        <v>1748</v>
      </c>
      <c r="H2745" s="165" t="str">
        <f>IF(ISBLANK('Q 5'!I309),"",IF('Q 5'!I309="&lt;please select&gt;","",'Q 5'!I309))</f>
        <v/>
      </c>
    </row>
    <row r="2746" spans="1:8" x14ac:dyDescent="0.3">
      <c r="A2746" t="s">
        <v>1847</v>
      </c>
      <c r="B2746" t="s">
        <v>1855</v>
      </c>
      <c r="C2746">
        <v>108</v>
      </c>
      <c r="D2746" t="s">
        <v>1447</v>
      </c>
      <c r="E2746" t="s">
        <v>1858</v>
      </c>
      <c r="F2746" t="s">
        <v>1748</v>
      </c>
      <c r="H2746" s="165" t="str">
        <f>IF(ISBLANK('Q 5'!I310),"",IF('Q 5'!I310="&lt;please select&gt;","",'Q 5'!I310))</f>
        <v/>
      </c>
    </row>
    <row r="2747" spans="1:8" x14ac:dyDescent="0.3">
      <c r="A2747" t="s">
        <v>1847</v>
      </c>
      <c r="B2747" t="s">
        <v>1855</v>
      </c>
      <c r="C2747">
        <v>109</v>
      </c>
      <c r="D2747" t="s">
        <v>1447</v>
      </c>
      <c r="E2747" t="s">
        <v>1858</v>
      </c>
      <c r="F2747" t="s">
        <v>1748</v>
      </c>
      <c r="H2747" s="165" t="str">
        <f>IF(ISBLANK('Q 5'!I311),"",IF('Q 5'!I311="&lt;please select&gt;","",'Q 5'!I311))</f>
        <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Waste tyres - biomass fraction - Type I default value</v>
      </c>
    </row>
    <row r="3440" spans="1:8" x14ac:dyDescent="0.3">
      <c r="A3440" t="s">
        <v>1859</v>
      </c>
      <c r="B3440" t="s">
        <v>1860</v>
      </c>
      <c r="C3440">
        <v>2</v>
      </c>
      <c r="D3440" t="s">
        <v>1447</v>
      </c>
      <c r="E3440" t="s">
        <v>1861</v>
      </c>
      <c r="F3440" t="s">
        <v>1741</v>
      </c>
      <c r="G3440" t="str">
        <f>IF(ISBLANK('Q 5'!C1009),"",IF('Q 5'!C1009="&lt;please select&gt;","",'Q 5'!C1009))</f>
        <v>Waste tyres - net calorific value - Type I default value</v>
      </c>
    </row>
    <row r="3441" spans="1:7" x14ac:dyDescent="0.3">
      <c r="A3441" t="s">
        <v>1859</v>
      </c>
      <c r="B3441" t="s">
        <v>1860</v>
      </c>
      <c r="C3441">
        <v>3</v>
      </c>
      <c r="D3441" t="s">
        <v>1447</v>
      </c>
      <c r="E3441" t="s">
        <v>1861</v>
      </c>
      <c r="F3441" t="s">
        <v>1741</v>
      </c>
      <c r="G3441" t="str">
        <f>IF(ISBLANK('Q 5'!C1010),"",IF('Q 5'!C1010="&lt;please select&gt;","",'Q 5'!C1010))</f>
        <v>Lignite - net calorific value - Type I default value</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1</v>
      </c>
    </row>
    <row r="3465" spans="1:8" x14ac:dyDescent="0.3">
      <c r="A3465" t="s">
        <v>1859</v>
      </c>
      <c r="B3465" t="s">
        <v>1860</v>
      </c>
      <c r="C3465">
        <v>2</v>
      </c>
      <c r="D3465" t="s">
        <v>1447</v>
      </c>
      <c r="E3465" t="s">
        <v>1862</v>
      </c>
      <c r="F3465" t="s">
        <v>1748</v>
      </c>
      <c r="H3465" s="165" t="str">
        <f>IF(ISBLANK('Q 5'!E1009),"",IF('Q 5'!E1009="&lt;please select&gt;","",'Q 5'!E1009))</f>
        <v>1</v>
      </c>
    </row>
    <row r="3466" spans="1:8" x14ac:dyDescent="0.3">
      <c r="A3466" t="s">
        <v>1859</v>
      </c>
      <c r="B3466" t="s">
        <v>1860</v>
      </c>
      <c r="C3466">
        <v>3</v>
      </c>
      <c r="D3466" t="s">
        <v>1447</v>
      </c>
      <c r="E3466" t="s">
        <v>1862</v>
      </c>
      <c r="F3466" t="s">
        <v>1748</v>
      </c>
      <c r="H3466" s="165" t="str">
        <f>IF(ISBLANK('Q 5'!E1010),"",IF('Q 5'!E1010="&lt;please select&gt;","",'Q 5'!E1010))</f>
        <v>1</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1</v>
      </c>
    </row>
    <row r="3490" spans="1:8" x14ac:dyDescent="0.3">
      <c r="A3490" t="s">
        <v>1859</v>
      </c>
      <c r="B3490" t="s">
        <v>1860</v>
      </c>
      <c r="C3490">
        <v>2</v>
      </c>
      <c r="D3490" t="s">
        <v>1447</v>
      </c>
      <c r="E3490" t="s">
        <v>1863</v>
      </c>
      <c r="F3490" t="s">
        <v>1748</v>
      </c>
      <c r="H3490" s="165" t="str">
        <f>IF(ISBLANK('Q 5'!F1009),"",IF('Q 5'!F1009="&lt;please select&gt;","",'Q 5'!F1009))</f>
        <v>1</v>
      </c>
    </row>
    <row r="3491" spans="1:8" x14ac:dyDescent="0.3">
      <c r="A3491" t="s">
        <v>1859</v>
      </c>
      <c r="B3491" t="s">
        <v>1860</v>
      </c>
      <c r="C3491">
        <v>3</v>
      </c>
      <c r="D3491" t="s">
        <v>1447</v>
      </c>
      <c r="E3491" t="s">
        <v>1863</v>
      </c>
      <c r="F3491" t="s">
        <v>1748</v>
      </c>
      <c r="H3491" s="165" t="str">
        <f>IF(ISBLANK('Q 5'!F1010),"",IF('Q 5'!F1010="&lt;please select&gt;","",'Q 5'!F1010))</f>
        <v>1</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Yes</v>
      </c>
    </row>
    <row r="3515" spans="1:11" x14ac:dyDescent="0.3">
      <c r="A3515" t="s">
        <v>1859</v>
      </c>
      <c r="B3515" t="s">
        <v>1860</v>
      </c>
      <c r="C3515">
        <v>2</v>
      </c>
      <c r="D3515" t="s">
        <v>1447</v>
      </c>
      <c r="E3515" t="s">
        <v>1864</v>
      </c>
      <c r="F3515" t="s">
        <v>1759</v>
      </c>
      <c r="K3515" t="str">
        <f>IF(ISBLANK('Q 5'!G1009),"",IF('Q 5'!G1009="&lt;please select&gt;","",'Q 5'!G1009))</f>
        <v>Yes</v>
      </c>
    </row>
    <row r="3516" spans="1:11" x14ac:dyDescent="0.3">
      <c r="A3516" t="s">
        <v>1859</v>
      </c>
      <c r="B3516" t="s">
        <v>1860</v>
      </c>
      <c r="C3516">
        <v>3</v>
      </c>
      <c r="D3516" t="s">
        <v>1447</v>
      </c>
      <c r="E3516" t="s">
        <v>1864</v>
      </c>
      <c r="F3516" t="s">
        <v>1759</v>
      </c>
      <c r="K3516" t="str">
        <f>IF(ISBLANK('Q 5'!G1010),"",IF('Q 5'!G1010="&lt;please select&gt;","",'Q 5'!G1010))</f>
        <v>Yes</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methodical material published by the cement industry; reason: technical unfeasibility of making analysis</v>
      </c>
    </row>
    <row r="3540" spans="1:11" x14ac:dyDescent="0.3">
      <c r="A3540" t="s">
        <v>1859</v>
      </c>
      <c r="B3540" t="s">
        <v>1860</v>
      </c>
      <c r="C3540">
        <v>2</v>
      </c>
      <c r="D3540" t="s">
        <v>1447</v>
      </c>
      <c r="E3540" t="s">
        <v>1865</v>
      </c>
      <c r="F3540" t="s">
        <v>1741</v>
      </c>
      <c r="G3540" t="str">
        <f>IF(ISBLANK('Q 5'!H1009),"",IF('Q 5'!H1009="&lt;please select&gt;","",'Q 5'!H1009))</f>
        <v>methodical material published by the cement industry; reason: technical unfeasibility of making analysis</v>
      </c>
    </row>
    <row r="3541" spans="1:11" x14ac:dyDescent="0.3">
      <c r="A3541" t="s">
        <v>1859</v>
      </c>
      <c r="B3541" t="s">
        <v>1860</v>
      </c>
      <c r="C3541">
        <v>3</v>
      </c>
      <c r="D3541" t="s">
        <v>1447</v>
      </c>
      <c r="E3541" t="s">
        <v>1865</v>
      </c>
      <c r="F3541" t="s">
        <v>1741</v>
      </c>
      <c r="G3541" t="str">
        <f>IF(ISBLANK('Q 5'!H1010),"",IF('Q 5'!H1010="&lt;please select&gt;","",'Q 5'!H1010))</f>
        <v>supplier's lignite cataloque (installation with low emissions)</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CZ-117</v>
      </c>
    </row>
    <row r="3565" spans="1:7" x14ac:dyDescent="0.3">
      <c r="A3565" t="s">
        <v>1866</v>
      </c>
      <c r="B3565" t="s">
        <v>1867</v>
      </c>
      <c r="C3565">
        <v>2</v>
      </c>
      <c r="D3565" t="s">
        <v>1447</v>
      </c>
      <c r="E3565" t="s">
        <v>1868</v>
      </c>
      <c r="F3565" t="s">
        <v>1741</v>
      </c>
      <c r="G3565" t="str">
        <f>IF(ISBLANK('Q 5'!C1038),"",IF('Q 5'!C1038="&lt;please select&gt;","",'Q 5'!C1038))</f>
        <v>CZ-36</v>
      </c>
    </row>
    <row r="3566" spans="1:7" x14ac:dyDescent="0.3">
      <c r="A3566" t="s">
        <v>1866</v>
      </c>
      <c r="B3566" t="s">
        <v>1867</v>
      </c>
      <c r="C3566">
        <v>3</v>
      </c>
      <c r="D3566" t="s">
        <v>1447</v>
      </c>
      <c r="E3566" t="s">
        <v>1868</v>
      </c>
      <c r="F3566" t="s">
        <v>1741</v>
      </c>
      <c r="G3566" t="str">
        <f>IF(ISBLANK('Q 5'!C1039),"",IF('Q 5'!C1039="&lt;please select&gt;","",'Q 5'!C1039))</f>
        <v>CZ-65</v>
      </c>
    </row>
    <row r="3567" spans="1:7" x14ac:dyDescent="0.3">
      <c r="A3567" t="s">
        <v>1866</v>
      </c>
      <c r="B3567" t="s">
        <v>1867</v>
      </c>
      <c r="C3567">
        <v>4</v>
      </c>
      <c r="D3567" t="s">
        <v>1447</v>
      </c>
      <c r="E3567" t="s">
        <v>1868</v>
      </c>
      <c r="F3567" t="s">
        <v>1741</v>
      </c>
      <c r="G3567" t="str">
        <f>IF(ISBLANK('Q 5'!C1040),"",IF('Q 5'!C1040="&lt;please select&gt;","",'Q 5'!C1040))</f>
        <v>CZ-45</v>
      </c>
    </row>
    <row r="3568" spans="1:7" x14ac:dyDescent="0.3">
      <c r="A3568" t="s">
        <v>1866</v>
      </c>
      <c r="B3568" t="s">
        <v>1867</v>
      </c>
      <c r="C3568">
        <v>5</v>
      </c>
      <c r="D3568" t="s">
        <v>1447</v>
      </c>
      <c r="E3568" t="s">
        <v>1868</v>
      </c>
      <c r="F3568" t="s">
        <v>1741</v>
      </c>
      <c r="G3568" t="str">
        <f>IF(ISBLANK('Q 5'!C1041),"",IF('Q 5'!C1041="&lt;please select&gt;","",'Q 5'!C1041))</f>
        <v>CZ-151</v>
      </c>
    </row>
    <row r="3569" spans="1:7" x14ac:dyDescent="0.3">
      <c r="A3569" t="s">
        <v>1866</v>
      </c>
      <c r="B3569" t="s">
        <v>1867</v>
      </c>
      <c r="C3569">
        <v>6</v>
      </c>
      <c r="D3569" t="s">
        <v>1447</v>
      </c>
      <c r="E3569" t="s">
        <v>1868</v>
      </c>
      <c r="F3569" t="s">
        <v>1741</v>
      </c>
      <c r="G3569" t="str">
        <f>IF(ISBLANK('Q 5'!C1042),"",IF('Q 5'!C1042="&lt;please select&gt;","",'Q 5'!C1042))</f>
        <v>CZ-118</v>
      </c>
    </row>
    <row r="3570" spans="1:7" x14ac:dyDescent="0.3">
      <c r="A3570" t="s">
        <v>1866</v>
      </c>
      <c r="B3570" t="s">
        <v>1867</v>
      </c>
      <c r="C3570">
        <v>7</v>
      </c>
      <c r="D3570" t="s">
        <v>1447</v>
      </c>
      <c r="E3570" t="s">
        <v>1868</v>
      </c>
      <c r="F3570" t="s">
        <v>1741</v>
      </c>
      <c r="G3570" t="str">
        <f>IF(ISBLANK('Q 5'!C1043),"",IF('Q 5'!C1043="&lt;please select&gt;","",'Q 5'!C1043))</f>
        <v>CZ-120</v>
      </c>
    </row>
    <row r="3571" spans="1:7" x14ac:dyDescent="0.3">
      <c r="A3571" t="s">
        <v>1866</v>
      </c>
      <c r="B3571" t="s">
        <v>1867</v>
      </c>
      <c r="C3571">
        <v>8</v>
      </c>
      <c r="D3571" t="s">
        <v>1447</v>
      </c>
      <c r="E3571" t="s">
        <v>1868</v>
      </c>
      <c r="F3571" t="s">
        <v>1741</v>
      </c>
      <c r="G3571" t="str">
        <f>IF(ISBLANK('Q 5'!C1044),"",IF('Q 5'!C1044="&lt;please select&gt;","",'Q 5'!C1044))</f>
        <v>CZ-121</v>
      </c>
    </row>
    <row r="3572" spans="1:7" x14ac:dyDescent="0.3">
      <c r="A3572" t="s">
        <v>1866</v>
      </c>
      <c r="B3572" t="s">
        <v>1867</v>
      </c>
      <c r="C3572">
        <v>9</v>
      </c>
      <c r="D3572" t="s">
        <v>1447</v>
      </c>
      <c r="E3572" t="s">
        <v>1868</v>
      </c>
      <c r="F3572" t="s">
        <v>1741</v>
      </c>
      <c r="G3572" t="str">
        <f>IF(ISBLANK('Q 5'!C1045),"",IF('Q 5'!C1045="&lt;please select&gt;","",'Q 5'!C1045))</f>
        <v>CZ-122</v>
      </c>
    </row>
    <row r="3573" spans="1:7" x14ac:dyDescent="0.3">
      <c r="A3573" t="s">
        <v>1866</v>
      </c>
      <c r="B3573" t="s">
        <v>1867</v>
      </c>
      <c r="C3573">
        <v>10</v>
      </c>
      <c r="D3573" t="s">
        <v>1447</v>
      </c>
      <c r="E3573" t="s">
        <v>1868</v>
      </c>
      <c r="F3573" t="s">
        <v>1741</v>
      </c>
      <c r="G3573" t="str">
        <f>IF(ISBLANK('Q 5'!C1046),"",IF('Q 5'!C1046="&lt;please select&gt;","",'Q 5'!C1046))</f>
        <v>CZ-123</v>
      </c>
    </row>
    <row r="3574" spans="1:7" x14ac:dyDescent="0.3">
      <c r="A3574" t="s">
        <v>1866</v>
      </c>
      <c r="B3574" t="s">
        <v>1867</v>
      </c>
      <c r="C3574">
        <v>11</v>
      </c>
      <c r="D3574" t="s">
        <v>1447</v>
      </c>
      <c r="E3574" t="s">
        <v>1868</v>
      </c>
      <c r="F3574" t="s">
        <v>1741</v>
      </c>
      <c r="G3574" t="str">
        <f>IF(ISBLANK('Q 5'!C1047),"",IF('Q 5'!C1047="&lt;please select&gt;","",'Q 5'!C1047))</f>
        <v>CZ-124</v>
      </c>
    </row>
    <row r="3575" spans="1:7" x14ac:dyDescent="0.3">
      <c r="A3575" t="s">
        <v>1866</v>
      </c>
      <c r="B3575" t="s">
        <v>1867</v>
      </c>
      <c r="C3575">
        <v>12</v>
      </c>
      <c r="D3575" t="s">
        <v>1447</v>
      </c>
      <c r="E3575" t="s">
        <v>1868</v>
      </c>
      <c r="F3575" t="s">
        <v>1741</v>
      </c>
      <c r="G3575" t="str">
        <f>IF(ISBLANK('Q 5'!C1048),"",IF('Q 5'!C1048="&lt;please select&gt;","",'Q 5'!C1048))</f>
        <v>CZ-125</v>
      </c>
    </row>
    <row r="3576" spans="1:7" x14ac:dyDescent="0.3">
      <c r="A3576" t="s">
        <v>1866</v>
      </c>
      <c r="B3576" t="s">
        <v>1867</v>
      </c>
      <c r="C3576">
        <v>13</v>
      </c>
      <c r="D3576" t="s">
        <v>1447</v>
      </c>
      <c r="E3576" t="s">
        <v>1868</v>
      </c>
      <c r="F3576" t="s">
        <v>1741</v>
      </c>
      <c r="G3576" t="str">
        <f>IF(ISBLANK('Q 5'!C1049),"",IF('Q 5'!C1049="&lt;please select&gt;","",'Q 5'!C1049))</f>
        <v>CZ-128</v>
      </c>
    </row>
    <row r="3577" spans="1:7" x14ac:dyDescent="0.3">
      <c r="A3577" t="s">
        <v>1866</v>
      </c>
      <c r="B3577" t="s">
        <v>1867</v>
      </c>
      <c r="C3577">
        <v>14</v>
      </c>
      <c r="D3577" t="s">
        <v>1447</v>
      </c>
      <c r="E3577" t="s">
        <v>1868</v>
      </c>
      <c r="F3577" t="s">
        <v>1741</v>
      </c>
      <c r="G3577" t="str">
        <f>IF(ISBLANK('Q 5'!C1050),"",IF('Q 5'!C1050="&lt;please select&gt;","",'Q 5'!C1050))</f>
        <v>CZ-129</v>
      </c>
    </row>
    <row r="3578" spans="1:7" x14ac:dyDescent="0.3">
      <c r="A3578" t="s">
        <v>1866</v>
      </c>
      <c r="B3578" t="s">
        <v>1867</v>
      </c>
      <c r="C3578">
        <v>15</v>
      </c>
      <c r="D3578" t="s">
        <v>1447</v>
      </c>
      <c r="E3578" t="s">
        <v>1868</v>
      </c>
      <c r="F3578" t="s">
        <v>1741</v>
      </c>
      <c r="G3578" t="str">
        <f>IF(ISBLANK('Q 5'!C1051),"",IF('Q 5'!C1051="&lt;please select&gt;","",'Q 5'!C1051))</f>
        <v>CZ-126</v>
      </c>
    </row>
    <row r="3579" spans="1:7" x14ac:dyDescent="0.3">
      <c r="A3579" t="s">
        <v>1866</v>
      </c>
      <c r="B3579" t="s">
        <v>1867</v>
      </c>
      <c r="C3579">
        <v>16</v>
      </c>
      <c r="D3579" t="s">
        <v>1447</v>
      </c>
      <c r="E3579" t="s">
        <v>1868</v>
      </c>
      <c r="F3579" t="s">
        <v>1741</v>
      </c>
      <c r="G3579" t="str">
        <f>IF(ISBLANK('Q 5'!C1052),"",IF('Q 5'!C1052="&lt;please select&gt;","",'Q 5'!C1052))</f>
        <v>CZ-127</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n.a.</v>
      </c>
    </row>
    <row r="3620" spans="1:7" x14ac:dyDescent="0.3">
      <c r="A3620" t="s">
        <v>1866</v>
      </c>
      <c r="B3620" t="s">
        <v>1867</v>
      </c>
      <c r="C3620">
        <v>2</v>
      </c>
      <c r="D3620" t="s">
        <v>1447</v>
      </c>
      <c r="E3620" t="s">
        <v>1869</v>
      </c>
      <c r="F3620" t="s">
        <v>1741</v>
      </c>
      <c r="G3620" t="str">
        <f>IF(ISBLANK('Q 5'!D1038),"",IF('Q 5'!D1038="&lt;please select&gt;","",'Q 5'!D1038))</f>
        <v>n.a.</v>
      </c>
    </row>
    <row r="3621" spans="1:7" x14ac:dyDescent="0.3">
      <c r="A3621" t="s">
        <v>1866</v>
      </c>
      <c r="B3621" t="s">
        <v>1867</v>
      </c>
      <c r="C3621">
        <v>3</v>
      </c>
      <c r="D3621" t="s">
        <v>1447</v>
      </c>
      <c r="E3621" t="s">
        <v>1869</v>
      </c>
      <c r="F3621" t="s">
        <v>1741</v>
      </c>
      <c r="G3621" t="str">
        <f>IF(ISBLANK('Q 5'!D1039),"",IF('Q 5'!D1039="&lt;please select&gt;","",'Q 5'!D1039))</f>
        <v>n.a.</v>
      </c>
    </row>
    <row r="3622" spans="1:7" x14ac:dyDescent="0.3">
      <c r="A3622" t="s">
        <v>1866</v>
      </c>
      <c r="B3622" t="s">
        <v>1867</v>
      </c>
      <c r="C3622">
        <v>4</v>
      </c>
      <c r="D3622" t="s">
        <v>1447</v>
      </c>
      <c r="E3622" t="s">
        <v>1869</v>
      </c>
      <c r="F3622" t="s">
        <v>1741</v>
      </c>
      <c r="G3622" t="str">
        <f>IF(ISBLANK('Q 5'!D1040),"",IF('Q 5'!D1040="&lt;please select&gt;","",'Q 5'!D1040))</f>
        <v>n.a.</v>
      </c>
    </row>
    <row r="3623" spans="1:7" x14ac:dyDescent="0.3">
      <c r="A3623" t="s">
        <v>1866</v>
      </c>
      <c r="B3623" t="s">
        <v>1867</v>
      </c>
      <c r="C3623">
        <v>5</v>
      </c>
      <c r="D3623" t="s">
        <v>1447</v>
      </c>
      <c r="E3623" t="s">
        <v>1869</v>
      </c>
      <c r="F3623" t="s">
        <v>1741</v>
      </c>
      <c r="G3623" t="str">
        <f>IF(ISBLANK('Q 5'!D1041),"",IF('Q 5'!D1041="&lt;please select&gt;","",'Q 5'!D1041))</f>
        <v>n.a.</v>
      </c>
    </row>
    <row r="3624" spans="1:7" x14ac:dyDescent="0.3">
      <c r="A3624" t="s">
        <v>1866</v>
      </c>
      <c r="B3624" t="s">
        <v>1867</v>
      </c>
      <c r="C3624">
        <v>6</v>
      </c>
      <c r="D3624" t="s">
        <v>1447</v>
      </c>
      <c r="E3624" t="s">
        <v>1869</v>
      </c>
      <c r="F3624" t="s">
        <v>1741</v>
      </c>
      <c r="G3624" t="str">
        <f>IF(ISBLANK('Q 5'!D1042),"",IF('Q 5'!D1042="&lt;please select&gt;","",'Q 5'!D1042))</f>
        <v>n.a.</v>
      </c>
    </row>
    <row r="3625" spans="1:7" x14ac:dyDescent="0.3">
      <c r="A3625" t="s">
        <v>1866</v>
      </c>
      <c r="B3625" t="s">
        <v>1867</v>
      </c>
      <c r="C3625">
        <v>7</v>
      </c>
      <c r="D3625" t="s">
        <v>1447</v>
      </c>
      <c r="E3625" t="s">
        <v>1869</v>
      </c>
      <c r="F3625" t="s">
        <v>1741</v>
      </c>
      <c r="G3625" t="str">
        <f>IF(ISBLANK('Q 5'!D1043),"",IF('Q 5'!D1043="&lt;please select&gt;","",'Q 5'!D1043))</f>
        <v>n.a.</v>
      </c>
    </row>
    <row r="3626" spans="1:7" x14ac:dyDescent="0.3">
      <c r="A3626" t="s">
        <v>1866</v>
      </c>
      <c r="B3626" t="s">
        <v>1867</v>
      </c>
      <c r="C3626">
        <v>8</v>
      </c>
      <c r="D3626" t="s">
        <v>1447</v>
      </c>
      <c r="E3626" t="s">
        <v>1869</v>
      </c>
      <c r="F3626" t="s">
        <v>1741</v>
      </c>
      <c r="G3626" t="str">
        <f>IF(ISBLANK('Q 5'!D1044),"",IF('Q 5'!D1044="&lt;please select&gt;","",'Q 5'!D1044))</f>
        <v>n.a.</v>
      </c>
    </row>
    <row r="3627" spans="1:7" x14ac:dyDescent="0.3">
      <c r="A3627" t="s">
        <v>1866</v>
      </c>
      <c r="B3627" t="s">
        <v>1867</v>
      </c>
      <c r="C3627">
        <v>9</v>
      </c>
      <c r="D3627" t="s">
        <v>1447</v>
      </c>
      <c r="E3627" t="s">
        <v>1869</v>
      </c>
      <c r="F3627" t="s">
        <v>1741</v>
      </c>
      <c r="G3627" t="str">
        <f>IF(ISBLANK('Q 5'!D1045),"",IF('Q 5'!D1045="&lt;please select&gt;","",'Q 5'!D1045))</f>
        <v>n.a.</v>
      </c>
    </row>
    <row r="3628" spans="1:7" x14ac:dyDescent="0.3">
      <c r="A3628" t="s">
        <v>1866</v>
      </c>
      <c r="B3628" t="s">
        <v>1867</v>
      </c>
      <c r="C3628">
        <v>10</v>
      </c>
      <c r="D3628" t="s">
        <v>1447</v>
      </c>
      <c r="E3628" t="s">
        <v>1869</v>
      </c>
      <c r="F3628" t="s">
        <v>1741</v>
      </c>
      <c r="G3628" t="str">
        <f>IF(ISBLANK('Q 5'!D1046),"",IF('Q 5'!D1046="&lt;please select&gt;","",'Q 5'!D1046))</f>
        <v>n.a.</v>
      </c>
    </row>
    <row r="3629" spans="1:7" x14ac:dyDescent="0.3">
      <c r="A3629" t="s">
        <v>1866</v>
      </c>
      <c r="B3629" t="s">
        <v>1867</v>
      </c>
      <c r="C3629">
        <v>11</v>
      </c>
      <c r="D3629" t="s">
        <v>1447</v>
      </c>
      <c r="E3629" t="s">
        <v>1869</v>
      </c>
      <c r="F3629" t="s">
        <v>1741</v>
      </c>
      <c r="G3629" t="str">
        <f>IF(ISBLANK('Q 5'!D1047),"",IF('Q 5'!D1047="&lt;please select&gt;","",'Q 5'!D1047))</f>
        <v>n.a.</v>
      </c>
    </row>
    <row r="3630" spans="1:7" x14ac:dyDescent="0.3">
      <c r="A3630" t="s">
        <v>1866</v>
      </c>
      <c r="B3630" t="s">
        <v>1867</v>
      </c>
      <c r="C3630">
        <v>12</v>
      </c>
      <c r="D3630" t="s">
        <v>1447</v>
      </c>
      <c r="E3630" t="s">
        <v>1869</v>
      </c>
      <c r="F3630" t="s">
        <v>1741</v>
      </c>
      <c r="G3630" t="str">
        <f>IF(ISBLANK('Q 5'!D1048),"",IF('Q 5'!D1048="&lt;please select&gt;","",'Q 5'!D1048))</f>
        <v>n.a.</v>
      </c>
    </row>
    <row r="3631" spans="1:7" x14ac:dyDescent="0.3">
      <c r="A3631" t="s">
        <v>1866</v>
      </c>
      <c r="B3631" t="s">
        <v>1867</v>
      </c>
      <c r="C3631">
        <v>13</v>
      </c>
      <c r="D3631" t="s">
        <v>1447</v>
      </c>
      <c r="E3631" t="s">
        <v>1869</v>
      </c>
      <c r="F3631" t="s">
        <v>1741</v>
      </c>
      <c r="G3631" t="str">
        <f>IF(ISBLANK('Q 5'!D1049),"",IF('Q 5'!D1049="&lt;please select&gt;","",'Q 5'!D1049))</f>
        <v>n.a.</v>
      </c>
    </row>
    <row r="3632" spans="1:7" x14ac:dyDescent="0.3">
      <c r="A3632" t="s">
        <v>1866</v>
      </c>
      <c r="B3632" t="s">
        <v>1867</v>
      </c>
      <c r="C3632">
        <v>14</v>
      </c>
      <c r="D3632" t="s">
        <v>1447</v>
      </c>
      <c r="E3632" t="s">
        <v>1869</v>
      </c>
      <c r="F3632" t="s">
        <v>1741</v>
      </c>
      <c r="G3632" t="str">
        <f>IF(ISBLANK('Q 5'!D1050),"",IF('Q 5'!D1050="&lt;please select&gt;","",'Q 5'!D1050))</f>
        <v>n.a.</v>
      </c>
    </row>
    <row r="3633" spans="1:7" x14ac:dyDescent="0.3">
      <c r="A3633" t="s">
        <v>1866</v>
      </c>
      <c r="B3633" t="s">
        <v>1867</v>
      </c>
      <c r="C3633">
        <v>15</v>
      </c>
      <c r="D3633" t="s">
        <v>1447</v>
      </c>
      <c r="E3633" t="s">
        <v>1869</v>
      </c>
      <c r="F3633" t="s">
        <v>1741</v>
      </c>
      <c r="G3633" t="str">
        <f>IF(ISBLANK('Q 5'!D1051),"",IF('Q 5'!D1051="&lt;please select&gt;","",'Q 5'!D1051))</f>
        <v>n.a.</v>
      </c>
    </row>
    <row r="3634" spans="1:7" x14ac:dyDescent="0.3">
      <c r="A3634" t="s">
        <v>1866</v>
      </c>
      <c r="B3634" t="s">
        <v>1867</v>
      </c>
      <c r="C3634">
        <v>16</v>
      </c>
      <c r="D3634" t="s">
        <v>1447</v>
      </c>
      <c r="E3634" t="s">
        <v>1869</v>
      </c>
      <c r="F3634" t="s">
        <v>1741</v>
      </c>
      <c r="G3634" t="str">
        <f>IF(ISBLANK('Q 5'!D1052),"",IF('Q 5'!D1052="&lt;please select&gt;","",'Q 5'!D1052))</f>
        <v>n.a.</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7 major emission sources</v>
      </c>
    </row>
    <row r="3675" spans="1:7" x14ac:dyDescent="0.3">
      <c r="A3675" t="s">
        <v>1866</v>
      </c>
      <c r="B3675" t="s">
        <v>1867</v>
      </c>
      <c r="C3675">
        <v>2</v>
      </c>
      <c r="D3675" t="s">
        <v>1447</v>
      </c>
      <c r="E3675" t="s">
        <v>1870</v>
      </c>
      <c r="F3675" t="s">
        <v>1741</v>
      </c>
      <c r="G3675" t="str">
        <f>IF(ISBLANK('Q 5'!E1038),"",IF('Q 5'!E1038="&lt;please select&gt;","",'Q 5'!E1038))</f>
        <v>6 major emission sources</v>
      </c>
    </row>
    <row r="3676" spans="1:7" x14ac:dyDescent="0.3">
      <c r="A3676" t="s">
        <v>1866</v>
      </c>
      <c r="B3676" t="s">
        <v>1867</v>
      </c>
      <c r="C3676">
        <v>3</v>
      </c>
      <c r="D3676" t="s">
        <v>1447</v>
      </c>
      <c r="E3676" t="s">
        <v>1870</v>
      </c>
      <c r="F3676" t="s">
        <v>1741</v>
      </c>
      <c r="G3676" t="str">
        <f>IF(ISBLANK('Q 5'!E1039),"",IF('Q 5'!E1039="&lt;please select&gt;","",'Q 5'!E1039))</f>
        <v>4 major emission sources</v>
      </c>
    </row>
    <row r="3677" spans="1:7" x14ac:dyDescent="0.3">
      <c r="A3677" t="s">
        <v>1866</v>
      </c>
      <c r="B3677" t="s">
        <v>1867</v>
      </c>
      <c r="C3677">
        <v>4</v>
      </c>
      <c r="D3677" t="s">
        <v>1447</v>
      </c>
      <c r="E3677" t="s">
        <v>1870</v>
      </c>
      <c r="F3677" t="s">
        <v>1741</v>
      </c>
      <c r="G3677" t="str">
        <f>IF(ISBLANK('Q 5'!E1040),"",IF('Q 5'!E1040="&lt;please select&gt;","",'Q 5'!E1040))</f>
        <v>6 major emission sources</v>
      </c>
    </row>
    <row r="3678" spans="1:7" x14ac:dyDescent="0.3">
      <c r="A3678" t="s">
        <v>1866</v>
      </c>
      <c r="B3678" t="s">
        <v>1867</v>
      </c>
      <c r="C3678">
        <v>5</v>
      </c>
      <c r="D3678" t="s">
        <v>1447</v>
      </c>
      <c r="E3678" t="s">
        <v>1870</v>
      </c>
      <c r="F3678" t="s">
        <v>1741</v>
      </c>
      <c r="G3678" t="str">
        <f>IF(ISBLANK('Q 5'!E1041),"",IF('Q 5'!E1041="&lt;please select&gt;","",'Q 5'!E1041))</f>
        <v>6 major emission sources</v>
      </c>
    </row>
    <row r="3679" spans="1:7" x14ac:dyDescent="0.3">
      <c r="A3679" t="s">
        <v>1866</v>
      </c>
      <c r="B3679" t="s">
        <v>1867</v>
      </c>
      <c r="C3679">
        <v>6</v>
      </c>
      <c r="D3679" t="s">
        <v>1447</v>
      </c>
      <c r="E3679" t="s">
        <v>1870</v>
      </c>
      <c r="F3679" t="s">
        <v>1741</v>
      </c>
      <c r="G3679" t="str">
        <f>IF(ISBLANK('Q 5'!E1042),"",IF('Q 5'!E1042="&lt;please select&gt;","",'Q 5'!E1042))</f>
        <v>3 major emission sources</v>
      </c>
    </row>
    <row r="3680" spans="1:7" x14ac:dyDescent="0.3">
      <c r="A3680" t="s">
        <v>1866</v>
      </c>
      <c r="B3680" t="s">
        <v>1867</v>
      </c>
      <c r="C3680">
        <v>7</v>
      </c>
      <c r="D3680" t="s">
        <v>1447</v>
      </c>
      <c r="E3680" t="s">
        <v>1870</v>
      </c>
      <c r="F3680" t="s">
        <v>1741</v>
      </c>
      <c r="G3680" t="str">
        <f>IF(ISBLANK('Q 5'!E1043),"",IF('Q 5'!E1043="&lt;please select&gt;","",'Q 5'!E1043))</f>
        <v>4 major emission sources</v>
      </c>
    </row>
    <row r="3681" spans="1:7" x14ac:dyDescent="0.3">
      <c r="A3681" t="s">
        <v>1866</v>
      </c>
      <c r="B3681" t="s">
        <v>1867</v>
      </c>
      <c r="C3681">
        <v>8</v>
      </c>
      <c r="D3681" t="s">
        <v>1447</v>
      </c>
      <c r="E3681" t="s">
        <v>1870</v>
      </c>
      <c r="F3681" t="s">
        <v>1741</v>
      </c>
      <c r="G3681" t="str">
        <f>IF(ISBLANK('Q 5'!E1044),"",IF('Q 5'!E1044="&lt;please select&gt;","",'Q 5'!E1044))</f>
        <v>1 major emission source</v>
      </c>
    </row>
    <row r="3682" spans="1:7" x14ac:dyDescent="0.3">
      <c r="A3682" t="s">
        <v>1866</v>
      </c>
      <c r="B3682" t="s">
        <v>1867</v>
      </c>
      <c r="C3682">
        <v>9</v>
      </c>
      <c r="D3682" t="s">
        <v>1447</v>
      </c>
      <c r="E3682" t="s">
        <v>1870</v>
      </c>
      <c r="F3682" t="s">
        <v>1741</v>
      </c>
      <c r="G3682" t="str">
        <f>IF(ISBLANK('Q 5'!E1045),"",IF('Q 5'!E1045="&lt;please select&gt;","",'Q 5'!E1045))</f>
        <v>2 major emission sources</v>
      </c>
    </row>
    <row r="3683" spans="1:7" x14ac:dyDescent="0.3">
      <c r="A3683" t="s">
        <v>1866</v>
      </c>
      <c r="B3683" t="s">
        <v>1867</v>
      </c>
      <c r="C3683">
        <v>10</v>
      </c>
      <c r="D3683" t="s">
        <v>1447</v>
      </c>
      <c r="E3683" t="s">
        <v>1870</v>
      </c>
      <c r="F3683" t="s">
        <v>1741</v>
      </c>
      <c r="G3683" t="str">
        <f>IF(ISBLANK('Q 5'!E1046),"",IF('Q 5'!E1046="&lt;please select&gt;","",'Q 5'!E1046))</f>
        <v>1 major emission source</v>
      </c>
    </row>
    <row r="3684" spans="1:7" x14ac:dyDescent="0.3">
      <c r="A3684" t="s">
        <v>1866</v>
      </c>
      <c r="B3684" t="s">
        <v>1867</v>
      </c>
      <c r="C3684">
        <v>11</v>
      </c>
      <c r="D3684" t="s">
        <v>1447</v>
      </c>
      <c r="E3684" t="s">
        <v>1870</v>
      </c>
      <c r="F3684" t="s">
        <v>1741</v>
      </c>
      <c r="G3684" t="str">
        <f>IF(ISBLANK('Q 5'!E1047),"",IF('Q 5'!E1047="&lt;please select&gt;","",'Q 5'!E1047))</f>
        <v>5 major emission sources</v>
      </c>
    </row>
    <row r="3685" spans="1:7" x14ac:dyDescent="0.3">
      <c r="A3685" t="s">
        <v>1866</v>
      </c>
      <c r="B3685" t="s">
        <v>1867</v>
      </c>
      <c r="C3685">
        <v>12</v>
      </c>
      <c r="D3685" t="s">
        <v>1447</v>
      </c>
      <c r="E3685" t="s">
        <v>1870</v>
      </c>
      <c r="F3685" t="s">
        <v>1741</v>
      </c>
      <c r="G3685" t="str">
        <f>IF(ISBLANK('Q 5'!E1048),"",IF('Q 5'!E1048="&lt;please select&gt;","",'Q 5'!E1048))</f>
        <v>2 major emission sources</v>
      </c>
    </row>
    <row r="3686" spans="1:7" x14ac:dyDescent="0.3">
      <c r="A3686" t="s">
        <v>1866</v>
      </c>
      <c r="B3686" t="s">
        <v>1867</v>
      </c>
      <c r="C3686">
        <v>13</v>
      </c>
      <c r="D3686" t="s">
        <v>1447</v>
      </c>
      <c r="E3686" t="s">
        <v>1870</v>
      </c>
      <c r="F3686" t="s">
        <v>1741</v>
      </c>
      <c r="G3686" t="str">
        <f>IF(ISBLANK('Q 5'!E1049),"",IF('Q 5'!E1049="&lt;please select&gt;","",'Q 5'!E1049))</f>
        <v>3 major emission sources</v>
      </c>
    </row>
    <row r="3687" spans="1:7" x14ac:dyDescent="0.3">
      <c r="A3687" t="s">
        <v>1866</v>
      </c>
      <c r="B3687" t="s">
        <v>1867</v>
      </c>
      <c r="C3687">
        <v>14</v>
      </c>
      <c r="D3687" t="s">
        <v>1447</v>
      </c>
      <c r="E3687" t="s">
        <v>1870</v>
      </c>
      <c r="F3687" t="s">
        <v>1741</v>
      </c>
      <c r="G3687" t="str">
        <f>IF(ISBLANK('Q 5'!E1050),"",IF('Q 5'!E1050="&lt;please select&gt;","",'Q 5'!E1050))</f>
        <v>4 major emission sources</v>
      </c>
    </row>
    <row r="3688" spans="1:7" x14ac:dyDescent="0.3">
      <c r="A3688" t="s">
        <v>1866</v>
      </c>
      <c r="B3688" t="s">
        <v>1867</v>
      </c>
      <c r="C3688">
        <v>15</v>
      </c>
      <c r="D3688" t="s">
        <v>1447</v>
      </c>
      <c r="E3688" t="s">
        <v>1870</v>
      </c>
      <c r="F3688" t="s">
        <v>1741</v>
      </c>
      <c r="G3688" t="str">
        <f>IF(ISBLANK('Q 5'!E1051),"",IF('Q 5'!E1051="&lt;please select&gt;","",'Q 5'!E1051))</f>
        <v>4 major emission sources</v>
      </c>
    </row>
    <row r="3689" spans="1:7" x14ac:dyDescent="0.3">
      <c r="A3689" t="s">
        <v>1866</v>
      </c>
      <c r="B3689" t="s">
        <v>1867</v>
      </c>
      <c r="C3689">
        <v>16</v>
      </c>
      <c r="D3689" t="s">
        <v>1447</v>
      </c>
      <c r="E3689" t="s">
        <v>1870</v>
      </c>
      <c r="F3689" t="s">
        <v>1741</v>
      </c>
      <c r="G3689" t="str">
        <f>IF(ISBLANK('Q 5'!E1052),"",IF('Q 5'!E1052="&lt;please select&gt;","",'Q 5'!E1052))</f>
        <v>3 major emission sources</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Annual average hourly emissions in kg/h from the source</v>
      </c>
    </row>
    <row r="3730" spans="1:11" x14ac:dyDescent="0.3">
      <c r="A3730" t="s">
        <v>1866</v>
      </c>
      <c r="B3730" t="s">
        <v>1867</v>
      </c>
      <c r="C3730">
        <v>2</v>
      </c>
      <c r="D3730" t="s">
        <v>1447</v>
      </c>
      <c r="E3730" t="s">
        <v>1871</v>
      </c>
      <c r="F3730" t="s">
        <v>1737</v>
      </c>
      <c r="K3730" t="str">
        <f>IF(ISBLANK('Q 5'!F1038),"",IF('Q 5'!F1038="&lt;please select&gt;","",'Q 5'!F1038))</f>
        <v>Annual average hourly emissions in kg/h from the source</v>
      </c>
    </row>
    <row r="3731" spans="1:11" x14ac:dyDescent="0.3">
      <c r="A3731" t="s">
        <v>1866</v>
      </c>
      <c r="B3731" t="s">
        <v>1867</v>
      </c>
      <c r="C3731">
        <v>3</v>
      </c>
      <c r="D3731" t="s">
        <v>1447</v>
      </c>
      <c r="E3731" t="s">
        <v>1871</v>
      </c>
      <c r="F3731" t="s">
        <v>1737</v>
      </c>
      <c r="K3731" t="str">
        <f>IF(ISBLANK('Q 5'!F1039),"",IF('Q 5'!F1039="&lt;please select&gt;","",'Q 5'!F1039))</f>
        <v>Annual average hourly emissions in kg/h from the source</v>
      </c>
    </row>
    <row r="3732" spans="1:11" x14ac:dyDescent="0.3">
      <c r="A3732" t="s">
        <v>1866</v>
      </c>
      <c r="B3732" t="s">
        <v>1867</v>
      </c>
      <c r="C3732">
        <v>4</v>
      </c>
      <c r="D3732" t="s">
        <v>1447</v>
      </c>
      <c r="E3732" t="s">
        <v>1871</v>
      </c>
      <c r="F3732" t="s">
        <v>1737</v>
      </c>
      <c r="K3732" t="str">
        <f>IF(ISBLANK('Q 5'!F1040),"",IF('Q 5'!F1040="&lt;please select&gt;","",'Q 5'!F1040))</f>
        <v>Annual average hourly emissions in kg/h from the source</v>
      </c>
    </row>
    <row r="3733" spans="1:11" x14ac:dyDescent="0.3">
      <c r="A3733" t="s">
        <v>1866</v>
      </c>
      <c r="B3733" t="s">
        <v>1867</v>
      </c>
      <c r="C3733">
        <v>5</v>
      </c>
      <c r="D3733" t="s">
        <v>1447</v>
      </c>
      <c r="E3733" t="s">
        <v>1871</v>
      </c>
      <c r="F3733" t="s">
        <v>1737</v>
      </c>
      <c r="K3733" t="str">
        <f>IF(ISBLANK('Q 5'!F1041),"",IF('Q 5'!F1041="&lt;please select&gt;","",'Q 5'!F1041))</f>
        <v>Annual average hourly emissions in kg/h from the source</v>
      </c>
    </row>
    <row r="3734" spans="1:11" x14ac:dyDescent="0.3">
      <c r="A3734" t="s">
        <v>1866</v>
      </c>
      <c r="B3734" t="s">
        <v>1867</v>
      </c>
      <c r="C3734">
        <v>6</v>
      </c>
      <c r="D3734" t="s">
        <v>1447</v>
      </c>
      <c r="E3734" t="s">
        <v>1871</v>
      </c>
      <c r="F3734" t="s">
        <v>1737</v>
      </c>
      <c r="K3734" t="str">
        <f>IF(ISBLANK('Q 5'!F1042),"",IF('Q 5'!F1042="&lt;please select&gt;","",'Q 5'!F1042))</f>
        <v>Annual average hourly emissions in kg/h from the source</v>
      </c>
    </row>
    <row r="3735" spans="1:11" x14ac:dyDescent="0.3">
      <c r="A3735" t="s">
        <v>1866</v>
      </c>
      <c r="B3735" t="s">
        <v>1867</v>
      </c>
      <c r="C3735">
        <v>7</v>
      </c>
      <c r="D3735" t="s">
        <v>1447</v>
      </c>
      <c r="E3735" t="s">
        <v>1871</v>
      </c>
      <c r="F3735" t="s">
        <v>1737</v>
      </c>
      <c r="K3735" t="str">
        <f>IF(ISBLANK('Q 5'!F1043),"",IF('Q 5'!F1043="&lt;please select&gt;","",'Q 5'!F1043))</f>
        <v>Annual average hourly emissions in kg/h from the source</v>
      </c>
    </row>
    <row r="3736" spans="1:11" x14ac:dyDescent="0.3">
      <c r="A3736" t="s">
        <v>1866</v>
      </c>
      <c r="B3736" t="s">
        <v>1867</v>
      </c>
      <c r="C3736">
        <v>8</v>
      </c>
      <c r="D3736" t="s">
        <v>1447</v>
      </c>
      <c r="E3736" t="s">
        <v>1871</v>
      </c>
      <c r="F3736" t="s">
        <v>1737</v>
      </c>
      <c r="K3736" t="str">
        <f>IF(ISBLANK('Q 5'!F1044),"",IF('Q 5'!F1044="&lt;please select&gt;","",'Q 5'!F1044))</f>
        <v>Annual average hourly emissions in kg/h from the source</v>
      </c>
    </row>
    <row r="3737" spans="1:11" x14ac:dyDescent="0.3">
      <c r="A3737" t="s">
        <v>1866</v>
      </c>
      <c r="B3737" t="s">
        <v>1867</v>
      </c>
      <c r="C3737">
        <v>9</v>
      </c>
      <c r="D3737" t="s">
        <v>1447</v>
      </c>
      <c r="E3737" t="s">
        <v>1871</v>
      </c>
      <c r="F3737" t="s">
        <v>1737</v>
      </c>
      <c r="K3737" t="str">
        <f>IF(ISBLANK('Q 5'!F1045),"",IF('Q 5'!F1045="&lt;please select&gt;","",'Q 5'!F1045))</f>
        <v>Annual average hourly emissions in kg/h from the source</v>
      </c>
    </row>
    <row r="3738" spans="1:11" x14ac:dyDescent="0.3">
      <c r="A3738" t="s">
        <v>1866</v>
      </c>
      <c r="B3738" t="s">
        <v>1867</v>
      </c>
      <c r="C3738">
        <v>10</v>
      </c>
      <c r="D3738" t="s">
        <v>1447</v>
      </c>
      <c r="E3738" t="s">
        <v>1871</v>
      </c>
      <c r="F3738" t="s">
        <v>1737</v>
      </c>
      <c r="K3738" t="str">
        <f>IF(ISBLANK('Q 5'!F1046),"",IF('Q 5'!F1046="&lt;please select&gt;","",'Q 5'!F1046))</f>
        <v>Annual average hourly emissions in kg/h from the source</v>
      </c>
    </row>
    <row r="3739" spans="1:11" x14ac:dyDescent="0.3">
      <c r="A3739" t="s">
        <v>1866</v>
      </c>
      <c r="B3739" t="s">
        <v>1867</v>
      </c>
      <c r="C3739">
        <v>11</v>
      </c>
      <c r="D3739" t="s">
        <v>1447</v>
      </c>
      <c r="E3739" t="s">
        <v>1871</v>
      </c>
      <c r="F3739" t="s">
        <v>1737</v>
      </c>
      <c r="K3739" t="str">
        <f>IF(ISBLANK('Q 5'!F1047),"",IF('Q 5'!F1047="&lt;please select&gt;","",'Q 5'!F1047))</f>
        <v>Annual average hourly emissions in kg/h from the source</v>
      </c>
    </row>
    <row r="3740" spans="1:11" x14ac:dyDescent="0.3">
      <c r="A3740" t="s">
        <v>1866</v>
      </c>
      <c r="B3740" t="s">
        <v>1867</v>
      </c>
      <c r="C3740">
        <v>12</v>
      </c>
      <c r="D3740" t="s">
        <v>1447</v>
      </c>
      <c r="E3740" t="s">
        <v>1871</v>
      </c>
      <c r="F3740" t="s">
        <v>1737</v>
      </c>
      <c r="K3740" t="str">
        <f>IF(ISBLANK('Q 5'!F1048),"",IF('Q 5'!F1048="&lt;please select&gt;","",'Q 5'!F1048))</f>
        <v>Annual average hourly emissions in kg/h from the source</v>
      </c>
    </row>
    <row r="3741" spans="1:11" x14ac:dyDescent="0.3">
      <c r="A3741" t="s">
        <v>1866</v>
      </c>
      <c r="B3741" t="s">
        <v>1867</v>
      </c>
      <c r="C3741">
        <v>13</v>
      </c>
      <c r="D3741" t="s">
        <v>1447</v>
      </c>
      <c r="E3741" t="s">
        <v>1871</v>
      </c>
      <c r="F3741" t="s">
        <v>1737</v>
      </c>
      <c r="K3741" t="str">
        <f>IF(ISBLANK('Q 5'!F1049),"",IF('Q 5'!F1049="&lt;please select&gt;","",'Q 5'!F1049))</f>
        <v>Annual average hourly emissions in kg/h from the source</v>
      </c>
    </row>
    <row r="3742" spans="1:11" x14ac:dyDescent="0.3">
      <c r="A3742" t="s">
        <v>1866</v>
      </c>
      <c r="B3742" t="s">
        <v>1867</v>
      </c>
      <c r="C3742">
        <v>14</v>
      </c>
      <c r="D3742" t="s">
        <v>1447</v>
      </c>
      <c r="E3742" t="s">
        <v>1871</v>
      </c>
      <c r="F3742" t="s">
        <v>1737</v>
      </c>
      <c r="K3742" t="str">
        <f>IF(ISBLANK('Q 5'!F1050),"",IF('Q 5'!F1050="&lt;please select&gt;","",'Q 5'!F1050))</f>
        <v>Annual average hourly emissions in kg/h from the source</v>
      </c>
    </row>
    <row r="3743" spans="1:11" x14ac:dyDescent="0.3">
      <c r="A3743" t="s">
        <v>1866</v>
      </c>
      <c r="B3743" t="s">
        <v>1867</v>
      </c>
      <c r="C3743">
        <v>15</v>
      </c>
      <c r="D3743" t="s">
        <v>1447</v>
      </c>
      <c r="E3743" t="s">
        <v>1871</v>
      </c>
      <c r="F3743" t="s">
        <v>1737</v>
      </c>
      <c r="K3743" t="str">
        <f>IF(ISBLANK('Q 5'!F1051),"",IF('Q 5'!F1051="&lt;please select&gt;","",'Q 5'!F1051))</f>
        <v>Annual average hourly emissions in kg/h from the source</v>
      </c>
    </row>
    <row r="3744" spans="1:11" x14ac:dyDescent="0.3">
      <c r="A3744" t="s">
        <v>1866</v>
      </c>
      <c r="B3744" t="s">
        <v>1867</v>
      </c>
      <c r="C3744">
        <v>16</v>
      </c>
      <c r="D3744" t="s">
        <v>1447</v>
      </c>
      <c r="E3744" t="s">
        <v>1871</v>
      </c>
      <c r="F3744" t="s">
        <v>1737</v>
      </c>
      <c r="K3744" t="str">
        <f>IF(ISBLANK('Q 5'!F1052),"",IF('Q 5'!F1052="&lt;please select&gt;","",'Q 5'!F1052))</f>
        <v>Annual average hourly emissions in kg/h from the source</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Tier 4</v>
      </c>
    </row>
    <row r="3785" spans="1:11" x14ac:dyDescent="0.3">
      <c r="A3785" t="s">
        <v>1866</v>
      </c>
      <c r="B3785" t="s">
        <v>1867</v>
      </c>
      <c r="C3785">
        <v>2</v>
      </c>
      <c r="D3785" t="s">
        <v>1447</v>
      </c>
      <c r="E3785" t="s">
        <v>1872</v>
      </c>
      <c r="F3785" t="s">
        <v>1737</v>
      </c>
      <c r="K3785" t="str">
        <f>IF(ISBLANK('Q 5'!G1038),"",IF('Q 5'!G1038="&lt;please select&gt;","",'Q 5'!G1038))</f>
        <v>Tier 4</v>
      </c>
    </row>
    <row r="3786" spans="1:11" x14ac:dyDescent="0.3">
      <c r="A3786" t="s">
        <v>1866</v>
      </c>
      <c r="B3786" t="s">
        <v>1867</v>
      </c>
      <c r="C3786">
        <v>3</v>
      </c>
      <c r="D3786" t="s">
        <v>1447</v>
      </c>
      <c r="E3786" t="s">
        <v>1872</v>
      </c>
      <c r="F3786" t="s">
        <v>1737</v>
      </c>
      <c r="K3786" t="str">
        <f>IF(ISBLANK('Q 5'!G1039),"",IF('Q 5'!G1039="&lt;please select&gt;","",'Q 5'!G1039))</f>
        <v>Tier 4</v>
      </c>
    </row>
    <row r="3787" spans="1:11" x14ac:dyDescent="0.3">
      <c r="A3787" t="s">
        <v>1866</v>
      </c>
      <c r="B3787" t="s">
        <v>1867</v>
      </c>
      <c r="C3787">
        <v>4</v>
      </c>
      <c r="D3787" t="s">
        <v>1447</v>
      </c>
      <c r="E3787" t="s">
        <v>1872</v>
      </c>
      <c r="F3787" t="s">
        <v>1737</v>
      </c>
      <c r="K3787" t="str">
        <f>IF(ISBLANK('Q 5'!G1040),"",IF('Q 5'!G1040="&lt;please select&gt;","",'Q 5'!G1040))</f>
        <v>Tier 4</v>
      </c>
    </row>
    <row r="3788" spans="1:11" x14ac:dyDescent="0.3">
      <c r="A3788" t="s">
        <v>1866</v>
      </c>
      <c r="B3788" t="s">
        <v>1867</v>
      </c>
      <c r="C3788">
        <v>5</v>
      </c>
      <c r="D3788" t="s">
        <v>1447</v>
      </c>
      <c r="E3788" t="s">
        <v>1872</v>
      </c>
      <c r="F3788" t="s">
        <v>1737</v>
      </c>
      <c r="K3788" t="str">
        <f>IF(ISBLANK('Q 5'!G1041),"",IF('Q 5'!G1041="&lt;please select&gt;","",'Q 5'!G1041))</f>
        <v>Tier 4</v>
      </c>
    </row>
    <row r="3789" spans="1:11" x14ac:dyDescent="0.3">
      <c r="A3789" t="s">
        <v>1866</v>
      </c>
      <c r="B3789" t="s">
        <v>1867</v>
      </c>
      <c r="C3789">
        <v>6</v>
      </c>
      <c r="D3789" t="s">
        <v>1447</v>
      </c>
      <c r="E3789" t="s">
        <v>1872</v>
      </c>
      <c r="F3789" t="s">
        <v>1737</v>
      </c>
      <c r="K3789" t="str">
        <f>IF(ISBLANK('Q 5'!G1042),"",IF('Q 5'!G1042="&lt;please select&gt;","",'Q 5'!G1042))</f>
        <v>Tier 4</v>
      </c>
    </row>
    <row r="3790" spans="1:11" x14ac:dyDescent="0.3">
      <c r="A3790" t="s">
        <v>1866</v>
      </c>
      <c r="B3790" t="s">
        <v>1867</v>
      </c>
      <c r="C3790">
        <v>7</v>
      </c>
      <c r="D3790" t="s">
        <v>1447</v>
      </c>
      <c r="E3790" t="s">
        <v>1872</v>
      </c>
      <c r="F3790" t="s">
        <v>1737</v>
      </c>
      <c r="K3790" t="str">
        <f>IF(ISBLANK('Q 5'!G1043),"",IF('Q 5'!G1043="&lt;please select&gt;","",'Q 5'!G1043))</f>
        <v>Tier 4</v>
      </c>
    </row>
    <row r="3791" spans="1:11" x14ac:dyDescent="0.3">
      <c r="A3791" t="s">
        <v>1866</v>
      </c>
      <c r="B3791" t="s">
        <v>1867</v>
      </c>
      <c r="C3791">
        <v>8</v>
      </c>
      <c r="D3791" t="s">
        <v>1447</v>
      </c>
      <c r="E3791" t="s">
        <v>1872</v>
      </c>
      <c r="F3791" t="s">
        <v>1737</v>
      </c>
      <c r="K3791" t="str">
        <f>IF(ISBLANK('Q 5'!G1044),"",IF('Q 5'!G1044="&lt;please select&gt;","",'Q 5'!G1044))</f>
        <v>Tier 4</v>
      </c>
    </row>
    <row r="3792" spans="1:11" x14ac:dyDescent="0.3">
      <c r="A3792" t="s">
        <v>1866</v>
      </c>
      <c r="B3792" t="s">
        <v>1867</v>
      </c>
      <c r="C3792">
        <v>9</v>
      </c>
      <c r="D3792" t="s">
        <v>1447</v>
      </c>
      <c r="E3792" t="s">
        <v>1872</v>
      </c>
      <c r="F3792" t="s">
        <v>1737</v>
      </c>
      <c r="K3792" t="str">
        <f>IF(ISBLANK('Q 5'!G1045),"",IF('Q 5'!G1045="&lt;please select&gt;","",'Q 5'!G1045))</f>
        <v>Tier 4</v>
      </c>
    </row>
    <row r="3793" spans="1:11" x14ac:dyDescent="0.3">
      <c r="A3793" t="s">
        <v>1866</v>
      </c>
      <c r="B3793" t="s">
        <v>1867</v>
      </c>
      <c r="C3793">
        <v>10</v>
      </c>
      <c r="D3793" t="s">
        <v>1447</v>
      </c>
      <c r="E3793" t="s">
        <v>1872</v>
      </c>
      <c r="F3793" t="s">
        <v>1737</v>
      </c>
      <c r="K3793" t="str">
        <f>IF(ISBLANK('Q 5'!G1046),"",IF('Q 5'!G1046="&lt;please select&gt;","",'Q 5'!G1046))</f>
        <v>Tier 4</v>
      </c>
    </row>
    <row r="3794" spans="1:11" x14ac:dyDescent="0.3">
      <c r="A3794" t="s">
        <v>1866</v>
      </c>
      <c r="B3794" t="s">
        <v>1867</v>
      </c>
      <c r="C3794">
        <v>11</v>
      </c>
      <c r="D3794" t="s">
        <v>1447</v>
      </c>
      <c r="E3794" t="s">
        <v>1872</v>
      </c>
      <c r="F3794" t="s">
        <v>1737</v>
      </c>
      <c r="K3794" t="str">
        <f>IF(ISBLANK('Q 5'!G1047),"",IF('Q 5'!G1047="&lt;please select&gt;","",'Q 5'!G1047))</f>
        <v>Tier 4</v>
      </c>
    </row>
    <row r="3795" spans="1:11" x14ac:dyDescent="0.3">
      <c r="A3795" t="s">
        <v>1866</v>
      </c>
      <c r="B3795" t="s">
        <v>1867</v>
      </c>
      <c r="C3795">
        <v>12</v>
      </c>
      <c r="D3795" t="s">
        <v>1447</v>
      </c>
      <c r="E3795" t="s">
        <v>1872</v>
      </c>
      <c r="F3795" t="s">
        <v>1737</v>
      </c>
      <c r="K3795" t="str">
        <f>IF(ISBLANK('Q 5'!G1048),"",IF('Q 5'!G1048="&lt;please select&gt;","",'Q 5'!G1048))</f>
        <v>Tier 4</v>
      </c>
    </row>
    <row r="3796" spans="1:11" x14ac:dyDescent="0.3">
      <c r="A3796" t="s">
        <v>1866</v>
      </c>
      <c r="B3796" t="s">
        <v>1867</v>
      </c>
      <c r="C3796">
        <v>13</v>
      </c>
      <c r="D3796" t="s">
        <v>1447</v>
      </c>
      <c r="E3796" t="s">
        <v>1872</v>
      </c>
      <c r="F3796" t="s">
        <v>1737</v>
      </c>
      <c r="K3796" t="str">
        <f>IF(ISBLANK('Q 5'!G1049),"",IF('Q 5'!G1049="&lt;please select&gt;","",'Q 5'!G1049))</f>
        <v>Tier 4</v>
      </c>
    </row>
    <row r="3797" spans="1:11" x14ac:dyDescent="0.3">
      <c r="A3797" t="s">
        <v>1866</v>
      </c>
      <c r="B3797" t="s">
        <v>1867</v>
      </c>
      <c r="C3797">
        <v>14</v>
      </c>
      <c r="D3797" t="s">
        <v>1447</v>
      </c>
      <c r="E3797" t="s">
        <v>1872</v>
      </c>
      <c r="F3797" t="s">
        <v>1737</v>
      </c>
      <c r="K3797" t="str">
        <f>IF(ISBLANK('Q 5'!G1050),"",IF('Q 5'!G1050="&lt;please select&gt;","",'Q 5'!G1050))</f>
        <v>Tier 4</v>
      </c>
    </row>
    <row r="3798" spans="1:11" x14ac:dyDescent="0.3">
      <c r="A3798" t="s">
        <v>1866</v>
      </c>
      <c r="B3798" t="s">
        <v>1867</v>
      </c>
      <c r="C3798">
        <v>15</v>
      </c>
      <c r="D3798" t="s">
        <v>1447</v>
      </c>
      <c r="E3798" t="s">
        <v>1872</v>
      </c>
      <c r="F3798" t="s">
        <v>1737</v>
      </c>
      <c r="K3798" t="str">
        <f>IF(ISBLANK('Q 5'!G1051),"",IF('Q 5'!G1051="&lt;please select&gt;","",'Q 5'!G1051))</f>
        <v>Tier 4</v>
      </c>
    </row>
    <row r="3799" spans="1:11" x14ac:dyDescent="0.3">
      <c r="A3799" t="s">
        <v>1866</v>
      </c>
      <c r="B3799" t="s">
        <v>1867</v>
      </c>
      <c r="C3799">
        <v>16</v>
      </c>
      <c r="D3799" t="s">
        <v>1447</v>
      </c>
      <c r="E3799" t="s">
        <v>1872</v>
      </c>
      <c r="F3799" t="s">
        <v>1737</v>
      </c>
      <c r="K3799" t="str">
        <f>IF(ISBLANK('Q 5'!G1052),"",IF('Q 5'!G1052="&lt;please select&gt;","",'Q 5'!G1052))</f>
        <v>Tier 4</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Tier 3</v>
      </c>
    </row>
    <row r="3840" spans="1:11" x14ac:dyDescent="0.3">
      <c r="A3840" t="s">
        <v>1866</v>
      </c>
      <c r="B3840" t="s">
        <v>1867</v>
      </c>
      <c r="C3840">
        <v>2</v>
      </c>
      <c r="D3840" t="s">
        <v>1447</v>
      </c>
      <c r="E3840" t="s">
        <v>1873</v>
      </c>
      <c r="F3840" t="s">
        <v>1737</v>
      </c>
      <c r="K3840" t="str">
        <f>IF(ISBLANK('Q 5'!H1038),"",IF('Q 5'!H1038="&lt;please select&gt;","",'Q 5'!H1038))</f>
        <v>Tier 3</v>
      </c>
    </row>
    <row r="3841" spans="1:11" x14ac:dyDescent="0.3">
      <c r="A3841" t="s">
        <v>1866</v>
      </c>
      <c r="B3841" t="s">
        <v>1867</v>
      </c>
      <c r="C3841">
        <v>3</v>
      </c>
      <c r="D3841" t="s">
        <v>1447</v>
      </c>
      <c r="E3841" t="s">
        <v>1873</v>
      </c>
      <c r="F3841" t="s">
        <v>1737</v>
      </c>
      <c r="K3841" t="str">
        <f>IF(ISBLANK('Q 5'!H1039),"",IF('Q 5'!H1039="&lt;please select&gt;","",'Q 5'!H1039))</f>
        <v>Tier 3</v>
      </c>
    </row>
    <row r="3842" spans="1:11" x14ac:dyDescent="0.3">
      <c r="A3842" t="s">
        <v>1866</v>
      </c>
      <c r="B3842" t="s">
        <v>1867</v>
      </c>
      <c r="C3842">
        <v>4</v>
      </c>
      <c r="D3842" t="s">
        <v>1447</v>
      </c>
      <c r="E3842" t="s">
        <v>1873</v>
      </c>
      <c r="F3842" t="s">
        <v>1737</v>
      </c>
      <c r="K3842" t="str">
        <f>IF(ISBLANK('Q 5'!H1040),"",IF('Q 5'!H1040="&lt;please select&gt;","",'Q 5'!H1040))</f>
        <v>Tier 3</v>
      </c>
    </row>
    <row r="3843" spans="1:11" x14ac:dyDescent="0.3">
      <c r="A3843" t="s">
        <v>1866</v>
      </c>
      <c r="B3843" t="s">
        <v>1867</v>
      </c>
      <c r="C3843">
        <v>5</v>
      </c>
      <c r="D3843" t="s">
        <v>1447</v>
      </c>
      <c r="E3843" t="s">
        <v>1873</v>
      </c>
      <c r="F3843" t="s">
        <v>1737</v>
      </c>
      <c r="K3843" t="str">
        <f>IF(ISBLANK('Q 5'!H1041),"",IF('Q 5'!H1041="&lt;please select&gt;","",'Q 5'!H1041))</f>
        <v>Tier 3</v>
      </c>
    </row>
    <row r="3844" spans="1:11" x14ac:dyDescent="0.3">
      <c r="A3844" t="s">
        <v>1866</v>
      </c>
      <c r="B3844" t="s">
        <v>1867</v>
      </c>
      <c r="C3844">
        <v>6</v>
      </c>
      <c r="D3844" t="s">
        <v>1447</v>
      </c>
      <c r="E3844" t="s">
        <v>1873</v>
      </c>
      <c r="F3844" t="s">
        <v>1737</v>
      </c>
      <c r="K3844" t="str">
        <f>IF(ISBLANK('Q 5'!H1042),"",IF('Q 5'!H1042="&lt;please select&gt;","",'Q 5'!H1042))</f>
        <v>Tier 3</v>
      </c>
    </row>
    <row r="3845" spans="1:11" x14ac:dyDescent="0.3">
      <c r="A3845" t="s">
        <v>1866</v>
      </c>
      <c r="B3845" t="s">
        <v>1867</v>
      </c>
      <c r="C3845">
        <v>7</v>
      </c>
      <c r="D3845" t="s">
        <v>1447</v>
      </c>
      <c r="E3845" t="s">
        <v>1873</v>
      </c>
      <c r="F3845" t="s">
        <v>1737</v>
      </c>
      <c r="K3845" t="str">
        <f>IF(ISBLANK('Q 5'!H1043),"",IF('Q 5'!H1043="&lt;please select&gt;","",'Q 5'!H1043))</f>
        <v>Tier 3</v>
      </c>
    </row>
    <row r="3846" spans="1:11" x14ac:dyDescent="0.3">
      <c r="A3846" t="s">
        <v>1866</v>
      </c>
      <c r="B3846" t="s">
        <v>1867</v>
      </c>
      <c r="C3846">
        <v>8</v>
      </c>
      <c r="D3846" t="s">
        <v>1447</v>
      </c>
      <c r="E3846" t="s">
        <v>1873</v>
      </c>
      <c r="F3846" t="s">
        <v>1737</v>
      </c>
      <c r="K3846" t="str">
        <f>IF(ISBLANK('Q 5'!H1044),"",IF('Q 5'!H1044="&lt;please select&gt;","",'Q 5'!H1044))</f>
        <v>Tier 3</v>
      </c>
    </row>
    <row r="3847" spans="1:11" x14ac:dyDescent="0.3">
      <c r="A3847" t="s">
        <v>1866</v>
      </c>
      <c r="B3847" t="s">
        <v>1867</v>
      </c>
      <c r="C3847">
        <v>9</v>
      </c>
      <c r="D3847" t="s">
        <v>1447</v>
      </c>
      <c r="E3847" t="s">
        <v>1873</v>
      </c>
      <c r="F3847" t="s">
        <v>1737</v>
      </c>
      <c r="K3847" t="str">
        <f>IF(ISBLANK('Q 5'!H1045),"",IF('Q 5'!H1045="&lt;please select&gt;","",'Q 5'!H1045))</f>
        <v>Tier 3</v>
      </c>
    </row>
    <row r="3848" spans="1:11" x14ac:dyDescent="0.3">
      <c r="A3848" t="s">
        <v>1866</v>
      </c>
      <c r="B3848" t="s">
        <v>1867</v>
      </c>
      <c r="C3848">
        <v>10</v>
      </c>
      <c r="D3848" t="s">
        <v>1447</v>
      </c>
      <c r="E3848" t="s">
        <v>1873</v>
      </c>
      <c r="F3848" t="s">
        <v>1737</v>
      </c>
      <c r="K3848" t="str">
        <f>IF(ISBLANK('Q 5'!H1046),"",IF('Q 5'!H1046="&lt;please select&gt;","",'Q 5'!H1046))</f>
        <v>Tier 3</v>
      </c>
    </row>
    <row r="3849" spans="1:11" x14ac:dyDescent="0.3">
      <c r="A3849" t="s">
        <v>1866</v>
      </c>
      <c r="B3849" t="s">
        <v>1867</v>
      </c>
      <c r="C3849">
        <v>11</v>
      </c>
      <c r="D3849" t="s">
        <v>1447</v>
      </c>
      <c r="E3849" t="s">
        <v>1873</v>
      </c>
      <c r="F3849" t="s">
        <v>1737</v>
      </c>
      <c r="K3849" t="str">
        <f>IF(ISBLANK('Q 5'!H1047),"",IF('Q 5'!H1047="&lt;please select&gt;","",'Q 5'!H1047))</f>
        <v>Tier 3</v>
      </c>
    </row>
    <row r="3850" spans="1:11" x14ac:dyDescent="0.3">
      <c r="A3850" t="s">
        <v>1866</v>
      </c>
      <c r="B3850" t="s">
        <v>1867</v>
      </c>
      <c r="C3850">
        <v>12</v>
      </c>
      <c r="D3850" t="s">
        <v>1447</v>
      </c>
      <c r="E3850" t="s">
        <v>1873</v>
      </c>
      <c r="F3850" t="s">
        <v>1737</v>
      </c>
      <c r="K3850" t="str">
        <f>IF(ISBLANK('Q 5'!H1048),"",IF('Q 5'!H1048="&lt;please select&gt;","",'Q 5'!H1048))</f>
        <v>Tier 3</v>
      </c>
    </row>
    <row r="3851" spans="1:11" x14ac:dyDescent="0.3">
      <c r="A3851" t="s">
        <v>1866</v>
      </c>
      <c r="B3851" t="s">
        <v>1867</v>
      </c>
      <c r="C3851">
        <v>13</v>
      </c>
      <c r="D3851" t="s">
        <v>1447</v>
      </c>
      <c r="E3851" t="s">
        <v>1873</v>
      </c>
      <c r="F3851" t="s">
        <v>1737</v>
      </c>
      <c r="K3851" t="str">
        <f>IF(ISBLANK('Q 5'!H1049),"",IF('Q 5'!H1049="&lt;please select&gt;","",'Q 5'!H1049))</f>
        <v>Tier 3</v>
      </c>
    </row>
    <row r="3852" spans="1:11" x14ac:dyDescent="0.3">
      <c r="A3852" t="s">
        <v>1866</v>
      </c>
      <c r="B3852" t="s">
        <v>1867</v>
      </c>
      <c r="C3852">
        <v>14</v>
      </c>
      <c r="D3852" t="s">
        <v>1447</v>
      </c>
      <c r="E3852" t="s">
        <v>1873</v>
      </c>
      <c r="F3852" t="s">
        <v>1737</v>
      </c>
      <c r="K3852" t="str">
        <f>IF(ISBLANK('Q 5'!H1050),"",IF('Q 5'!H1050="&lt;please select&gt;","",'Q 5'!H1050))</f>
        <v>Tier 3</v>
      </c>
    </row>
    <row r="3853" spans="1:11" x14ac:dyDescent="0.3">
      <c r="A3853" t="s">
        <v>1866</v>
      </c>
      <c r="B3853" t="s">
        <v>1867</v>
      </c>
      <c r="C3853">
        <v>15</v>
      </c>
      <c r="D3853" t="s">
        <v>1447</v>
      </c>
      <c r="E3853" t="s">
        <v>1873</v>
      </c>
      <c r="F3853" t="s">
        <v>1737</v>
      </c>
      <c r="K3853" t="str">
        <f>IF(ISBLANK('Q 5'!H1051),"",IF('Q 5'!H1051="&lt;please select&gt;","",'Q 5'!H1051))</f>
        <v>Tier 3</v>
      </c>
    </row>
    <row r="3854" spans="1:11" x14ac:dyDescent="0.3">
      <c r="A3854" t="s">
        <v>1866</v>
      </c>
      <c r="B3854" t="s">
        <v>1867</v>
      </c>
      <c r="C3854">
        <v>16</v>
      </c>
      <c r="D3854" t="s">
        <v>1447</v>
      </c>
      <c r="E3854" t="s">
        <v>1873</v>
      </c>
      <c r="F3854" t="s">
        <v>1737</v>
      </c>
      <c r="K3854" t="str">
        <f>IF(ISBLANK('Q 5'!H1052),"",IF('Q 5'!H1052="&lt;please select&gt;","",'Q 5'!H1052))</f>
        <v>Tier 3</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Measurement based methodology</v>
      </c>
    </row>
    <row r="3895" spans="1:11" x14ac:dyDescent="0.3">
      <c r="A3895" t="s">
        <v>1874</v>
      </c>
      <c r="B3895" t="s">
        <v>1875</v>
      </c>
      <c r="C3895">
        <v>2</v>
      </c>
      <c r="D3895" t="s">
        <v>1447</v>
      </c>
      <c r="E3895" t="s">
        <v>1876</v>
      </c>
      <c r="F3895" t="s">
        <v>1737</v>
      </c>
      <c r="K3895" t="str">
        <f>IF(ISBLANK('Q 5'!C1099),"",IF('Q 5'!C1099="&lt;please select&gt;","",'Q 5'!C1099))</f>
        <v>Measurement based methodology</v>
      </c>
    </row>
    <row r="3896" spans="1:11" x14ac:dyDescent="0.3">
      <c r="A3896" t="s">
        <v>1874</v>
      </c>
      <c r="B3896" t="s">
        <v>1875</v>
      </c>
      <c r="C3896">
        <v>3</v>
      </c>
      <c r="D3896" t="s">
        <v>1447</v>
      </c>
      <c r="E3896" t="s">
        <v>1876</v>
      </c>
      <c r="F3896" t="s">
        <v>1737</v>
      </c>
      <c r="K3896" t="str">
        <f>IF(ISBLANK('Q 5'!C1100),"",IF('Q 5'!C1100="&lt;please select&gt;","",'Q 5'!C1100))</f>
        <v/>
      </c>
    </row>
    <row r="3897" spans="1:11" x14ac:dyDescent="0.3">
      <c r="A3897" t="s">
        <v>1874</v>
      </c>
      <c r="B3897" t="s">
        <v>1875</v>
      </c>
      <c r="C3897">
        <v>4</v>
      </c>
      <c r="D3897" t="s">
        <v>1447</v>
      </c>
      <c r="E3897" t="s">
        <v>1876</v>
      </c>
      <c r="F3897" t="s">
        <v>1737</v>
      </c>
      <c r="K3897" t="str">
        <f>IF(ISBLANK('Q 5'!C1101),"",IF('Q 5'!C1101="&lt;please select&gt;","",'Q 5'!C1101))</f>
        <v/>
      </c>
    </row>
    <row r="3898" spans="1:11" x14ac:dyDescent="0.3">
      <c r="A3898" t="s">
        <v>1874</v>
      </c>
      <c r="B3898" t="s">
        <v>1875</v>
      </c>
      <c r="C3898">
        <v>5</v>
      </c>
      <c r="D3898" t="s">
        <v>1447</v>
      </c>
      <c r="E3898" t="s">
        <v>1876</v>
      </c>
      <c r="F3898" t="s">
        <v>1737</v>
      </c>
      <c r="K3898" t="str">
        <f>IF(ISBLANK('Q 5'!C1102),"",IF('Q 5'!C1102="&lt;please select&gt;","",'Q 5'!C1102))</f>
        <v/>
      </c>
    </row>
    <row r="3899" spans="1:11" x14ac:dyDescent="0.3">
      <c r="A3899" t="s">
        <v>1874</v>
      </c>
      <c r="B3899" t="s">
        <v>1875</v>
      </c>
      <c r="C3899">
        <v>6</v>
      </c>
      <c r="D3899" t="s">
        <v>1447</v>
      </c>
      <c r="E3899" t="s">
        <v>1876</v>
      </c>
      <c r="F3899" t="s">
        <v>1737</v>
      </c>
      <c r="K3899" t="str">
        <f>IF(ISBLANK('Q 5'!C1103),"",IF('Q 5'!C1103="&lt;please select&gt;","",'Q 5'!C1103))</f>
        <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20 - Combustion of fuels as specified in Annex I of Directive 2003/87/EC</v>
      </c>
    </row>
    <row r="3917" spans="1:11" x14ac:dyDescent="0.3">
      <c r="A3917" t="s">
        <v>1874</v>
      </c>
      <c r="B3917" t="s">
        <v>1875</v>
      </c>
      <c r="C3917">
        <v>2</v>
      </c>
      <c r="D3917" t="s">
        <v>1447</v>
      </c>
      <c r="E3917" t="s">
        <v>1877</v>
      </c>
      <c r="F3917" t="s">
        <v>1737</v>
      </c>
      <c r="K3917" t="str">
        <f>IF(ISBLANK('Q 5'!E1099),"",IF('Q 5'!E1099="&lt;please select&gt;","",'Q 5'!E1099))</f>
        <v xml:space="preserve">38 - Production of nitric acid </v>
      </c>
    </row>
    <row r="3918" spans="1:11" x14ac:dyDescent="0.3">
      <c r="A3918" t="s">
        <v>1874</v>
      </c>
      <c r="B3918" t="s">
        <v>1875</v>
      </c>
      <c r="C3918">
        <v>3</v>
      </c>
      <c r="D3918" t="s">
        <v>1447</v>
      </c>
      <c r="E3918" t="s">
        <v>1877</v>
      </c>
      <c r="F3918" t="s">
        <v>1737</v>
      </c>
      <c r="K3918" t="str">
        <f>IF(ISBLANK('Q 5'!E1100),"",IF('Q 5'!E1100="&lt;please select&gt;","",'Q 5'!E1100))</f>
        <v/>
      </c>
    </row>
    <row r="3919" spans="1:11" x14ac:dyDescent="0.3">
      <c r="A3919" t="s">
        <v>1874</v>
      </c>
      <c r="B3919" t="s">
        <v>1875</v>
      </c>
      <c r="C3919">
        <v>4</v>
      </c>
      <c r="D3919" t="s">
        <v>1447</v>
      </c>
      <c r="E3919" t="s">
        <v>1877</v>
      </c>
      <c r="F3919" t="s">
        <v>1737</v>
      </c>
      <c r="K3919" t="str">
        <f>IF(ISBLANK('Q 5'!E1101),"",IF('Q 5'!E1101="&lt;please select&gt;","",'Q 5'!E1101))</f>
        <v/>
      </c>
    </row>
    <row r="3920" spans="1:11" x14ac:dyDescent="0.3">
      <c r="A3920" t="s">
        <v>1874</v>
      </c>
      <c r="B3920" t="s">
        <v>1875</v>
      </c>
      <c r="C3920">
        <v>5</v>
      </c>
      <c r="D3920" t="s">
        <v>1447</v>
      </c>
      <c r="E3920" t="s">
        <v>1877</v>
      </c>
      <c r="F3920" t="s">
        <v>1737</v>
      </c>
      <c r="K3920" t="str">
        <f>IF(ISBLANK('Q 5'!E1102),"",IF('Q 5'!E1102="&lt;please select&gt;","",'Q 5'!E1102))</f>
        <v/>
      </c>
    </row>
    <row r="3921" spans="1:11" x14ac:dyDescent="0.3">
      <c r="A3921" t="s">
        <v>1874</v>
      </c>
      <c r="B3921" t="s">
        <v>1875</v>
      </c>
      <c r="C3921">
        <v>6</v>
      </c>
      <c r="D3921" t="s">
        <v>1447</v>
      </c>
      <c r="E3921" t="s">
        <v>1877</v>
      </c>
      <c r="F3921" t="s">
        <v>1737</v>
      </c>
      <c r="K3921" t="str">
        <f>IF(ISBLANK('Q 5'!E1103),"",IF('Q 5'!E1103="&lt;please select&gt;","",'Q 5'!E1103))</f>
        <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2</v>
      </c>
    </row>
    <row r="3939" spans="1:11" x14ac:dyDescent="0.3">
      <c r="A3939" t="s">
        <v>1874</v>
      </c>
      <c r="B3939" t="s">
        <v>1875</v>
      </c>
      <c r="C3939">
        <v>2</v>
      </c>
      <c r="D3939" t="s">
        <v>1447</v>
      </c>
      <c r="E3939" t="s">
        <v>1878</v>
      </c>
      <c r="F3939" t="s">
        <v>1748</v>
      </c>
      <c r="H3939" s="165" t="str">
        <f>IF(ISBLANK('Q 5'!H1099),"",IF('Q 5'!H1099="&lt;please select&gt;","",'Q 5'!H1099))</f>
        <v>1</v>
      </c>
    </row>
    <row r="3940" spans="1:11" x14ac:dyDescent="0.3">
      <c r="A3940" t="s">
        <v>1874</v>
      </c>
      <c r="B3940" t="s">
        <v>1875</v>
      </c>
      <c r="C3940">
        <v>3</v>
      </c>
      <c r="D3940" t="s">
        <v>1447</v>
      </c>
      <c r="E3940" t="s">
        <v>1878</v>
      </c>
      <c r="F3940" t="s">
        <v>1748</v>
      </c>
      <c r="H3940" s="165" t="str">
        <f>IF(ISBLANK('Q 5'!H1100),"",IF('Q 5'!H1100="&lt;please select&gt;","",'Q 5'!H1100))</f>
        <v/>
      </c>
    </row>
    <row r="3941" spans="1:11" x14ac:dyDescent="0.3">
      <c r="A3941" t="s">
        <v>1874</v>
      </c>
      <c r="B3941" t="s">
        <v>1875</v>
      </c>
      <c r="C3941">
        <v>4</v>
      </c>
      <c r="D3941" t="s">
        <v>1447</v>
      </c>
      <c r="E3941" t="s">
        <v>1878</v>
      </c>
      <c r="F3941" t="s">
        <v>1748</v>
      </c>
      <c r="H3941" s="165" t="str">
        <f>IF(ISBLANK('Q 5'!H1101),"",IF('Q 5'!H1101="&lt;please select&gt;","",'Q 5'!H1101))</f>
        <v/>
      </c>
    </row>
    <row r="3942" spans="1:11" x14ac:dyDescent="0.3">
      <c r="A3942" t="s">
        <v>1874</v>
      </c>
      <c r="B3942" t="s">
        <v>1875</v>
      </c>
      <c r="C3942">
        <v>5</v>
      </c>
      <c r="D3942" t="s">
        <v>1447</v>
      </c>
      <c r="E3942" t="s">
        <v>1878</v>
      </c>
      <c r="F3942" t="s">
        <v>1748</v>
      </c>
      <c r="H3942" s="165" t="str">
        <f>IF(ISBLANK('Q 5'!H1102),"",IF('Q 5'!H1102="&lt;please select&gt;","",'Q 5'!H1102))</f>
        <v/>
      </c>
    </row>
    <row r="3943" spans="1:11" x14ac:dyDescent="0.3">
      <c r="A3943" t="s">
        <v>1874</v>
      </c>
      <c r="B3943" t="s">
        <v>1875</v>
      </c>
      <c r="C3943">
        <v>6</v>
      </c>
      <c r="D3943" t="s">
        <v>1447</v>
      </c>
      <c r="E3943" t="s">
        <v>1878</v>
      </c>
      <c r="F3943" t="s">
        <v>1748</v>
      </c>
      <c r="H3943" s="165" t="str">
        <f>IF(ISBLANK('Q 5'!H1103),"",IF('Q 5'!H1103="&lt;please select&gt;","",'Q 5'!H1103))</f>
        <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Yes</v>
      </c>
    </row>
    <row r="3961" spans="1:11" x14ac:dyDescent="0.3">
      <c r="A3961" t="s">
        <v>1879</v>
      </c>
      <c r="B3961" t="s">
        <v>1881</v>
      </c>
      <c r="C3961">
        <v>1</v>
      </c>
      <c r="D3961" t="s">
        <v>1447</v>
      </c>
      <c r="E3961" t="s">
        <v>1882</v>
      </c>
      <c r="F3961" t="s">
        <v>1741</v>
      </c>
      <c r="G3961" t="str">
        <f>IF(ISBLANK('Q 5'!C1127),"",IF('Q 5'!C1127="&lt;please select&gt;","",'Q 5'!C1127))</f>
        <v>CZ-92</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Applying tier 1 is technically infeasible or leads to unreasonable costs for one major source stream</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Carbon content</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827079.129582198</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Category A</v>
      </c>
    </row>
    <row r="4002" spans="1:11" x14ac:dyDescent="0.3">
      <c r="A4002" t="s">
        <v>1886</v>
      </c>
      <c r="B4002" t="s">
        <v>1887</v>
      </c>
      <c r="C4002">
        <v>2</v>
      </c>
      <c r="D4002" t="s">
        <v>1447</v>
      </c>
      <c r="E4002" t="s">
        <v>1856</v>
      </c>
      <c r="F4002" t="s">
        <v>1737</v>
      </c>
      <c r="K4002" t="str">
        <f>IF(ISBLANK('Q 5'!C1145),"",IF('Q 5'!C1145="&lt;please select&gt;","",'Q 5'!C1145))</f>
        <v>Category B</v>
      </c>
    </row>
    <row r="4003" spans="1:11" x14ac:dyDescent="0.3">
      <c r="A4003" t="s">
        <v>1886</v>
      </c>
      <c r="B4003" t="s">
        <v>1887</v>
      </c>
      <c r="C4003">
        <v>3</v>
      </c>
      <c r="D4003" t="s">
        <v>1447</v>
      </c>
      <c r="E4003" t="s">
        <v>1856</v>
      </c>
      <c r="F4003" t="s">
        <v>1737</v>
      </c>
      <c r="K4003" t="str">
        <f>IF(ISBLANK('Q 5'!C1146),"",IF('Q 5'!C1146="&lt;please select&gt;","",'Q 5'!C1146))</f>
        <v>Category C</v>
      </c>
    </row>
    <row r="4004" spans="1:11" x14ac:dyDescent="0.3">
      <c r="A4004" t="s">
        <v>1886</v>
      </c>
      <c r="B4004" t="s">
        <v>1887</v>
      </c>
      <c r="C4004">
        <v>4</v>
      </c>
      <c r="D4004" t="s">
        <v>1447</v>
      </c>
      <c r="E4004" t="s">
        <v>1856</v>
      </c>
      <c r="F4004" t="s">
        <v>1737</v>
      </c>
      <c r="K4004" t="str">
        <f>IF(ISBLANK('Q 5'!C1147),"",IF('Q 5'!C1147="&lt;please select&gt;","",'Q 5'!C1147))</f>
        <v>Category B</v>
      </c>
    </row>
    <row r="4005" spans="1:11" x14ac:dyDescent="0.3">
      <c r="A4005" t="s">
        <v>1886</v>
      </c>
      <c r="B4005" t="s">
        <v>1887</v>
      </c>
      <c r="C4005">
        <v>5</v>
      </c>
      <c r="D4005" t="s">
        <v>1447</v>
      </c>
      <c r="E4005" t="s">
        <v>1856</v>
      </c>
      <c r="F4005" t="s">
        <v>1737</v>
      </c>
      <c r="K4005" t="str">
        <f>IF(ISBLANK('Q 5'!C1148),"",IF('Q 5'!C1148="&lt;please select&gt;","",'Q 5'!C1148))</f>
        <v>Category C</v>
      </c>
    </row>
    <row r="4006" spans="1:11" x14ac:dyDescent="0.3">
      <c r="A4006" t="s">
        <v>1886</v>
      </c>
      <c r="B4006" t="s">
        <v>1887</v>
      </c>
      <c r="C4006">
        <v>6</v>
      </c>
      <c r="D4006" t="s">
        <v>1447</v>
      </c>
      <c r="E4006" t="s">
        <v>1856</v>
      </c>
      <c r="F4006" t="s">
        <v>1737</v>
      </c>
      <c r="K4006" t="str">
        <f>IF(ISBLANK('Q 5'!C1149),"",IF('Q 5'!C1149="&lt;please select&gt;","",'Q 5'!C1149))</f>
        <v>Category C</v>
      </c>
    </row>
    <row r="4007" spans="1:11" x14ac:dyDescent="0.3">
      <c r="A4007" t="s">
        <v>1886</v>
      </c>
      <c r="B4007" t="s">
        <v>1887</v>
      </c>
      <c r="C4007">
        <v>7</v>
      </c>
      <c r="D4007" t="s">
        <v>1447</v>
      </c>
      <c r="E4007" t="s">
        <v>1856</v>
      </c>
      <c r="F4007" t="s">
        <v>1737</v>
      </c>
      <c r="K4007" t="str">
        <f>IF(ISBLANK('Q 5'!C1150),"",IF('Q 5'!C1150="&lt;please select&gt;","",'Q 5'!C1150))</f>
        <v>Category C</v>
      </c>
    </row>
    <row r="4008" spans="1:11" x14ac:dyDescent="0.3">
      <c r="A4008" t="s">
        <v>1886</v>
      </c>
      <c r="B4008" t="s">
        <v>1887</v>
      </c>
      <c r="C4008">
        <v>8</v>
      </c>
      <c r="D4008" t="s">
        <v>1447</v>
      </c>
      <c r="E4008" t="s">
        <v>1856</v>
      </c>
      <c r="F4008" t="s">
        <v>1737</v>
      </c>
      <c r="K4008" t="str">
        <f>IF(ISBLANK('Q 5'!C1151),"",IF('Q 5'!C1151="&lt;please select&gt;","",'Q 5'!C1151))</f>
        <v>Category C</v>
      </c>
    </row>
    <row r="4009" spans="1:11" x14ac:dyDescent="0.3">
      <c r="A4009" t="s">
        <v>1886</v>
      </c>
      <c r="B4009" t="s">
        <v>1887</v>
      </c>
      <c r="C4009">
        <v>9</v>
      </c>
      <c r="D4009" t="s">
        <v>1447</v>
      </c>
      <c r="E4009" t="s">
        <v>1856</v>
      </c>
      <c r="F4009" t="s">
        <v>1737</v>
      </c>
      <c r="K4009" t="str">
        <f>IF(ISBLANK('Q 5'!C1152),"",IF('Q 5'!C1152="&lt;please select&gt;","",'Q 5'!C1152))</f>
        <v>Category C</v>
      </c>
    </row>
    <row r="4010" spans="1:11" x14ac:dyDescent="0.3">
      <c r="A4010" t="s">
        <v>1886</v>
      </c>
      <c r="B4010" t="s">
        <v>1887</v>
      </c>
      <c r="C4010">
        <v>10</v>
      </c>
      <c r="D4010" t="s">
        <v>1447</v>
      </c>
      <c r="E4010" t="s">
        <v>1856</v>
      </c>
      <c r="F4010" t="s">
        <v>1737</v>
      </c>
      <c r="K4010" t="str">
        <f>IF(ISBLANK('Q 5'!C1153),"",IF('Q 5'!C1153="&lt;please select&gt;","",'Q 5'!C1153))</f>
        <v/>
      </c>
    </row>
    <row r="4011" spans="1:11" x14ac:dyDescent="0.3">
      <c r="A4011" t="s">
        <v>1886</v>
      </c>
      <c r="B4011" t="s">
        <v>1887</v>
      </c>
      <c r="C4011">
        <v>11</v>
      </c>
      <c r="D4011" t="s">
        <v>1447</v>
      </c>
      <c r="E4011" t="s">
        <v>1856</v>
      </c>
      <c r="F4011" t="s">
        <v>1737</v>
      </c>
      <c r="K4011" t="str">
        <f>IF(ISBLANK('Q 5'!C1154),"",IF('Q 5'!C1154="&lt;please select&gt;","",'Q 5'!C1154))</f>
        <v/>
      </c>
    </row>
    <row r="4012" spans="1:11" x14ac:dyDescent="0.3">
      <c r="A4012" t="s">
        <v>1886</v>
      </c>
      <c r="B4012" t="s">
        <v>1887</v>
      </c>
      <c r="C4012">
        <v>12</v>
      </c>
      <c r="D4012" t="s">
        <v>1447</v>
      </c>
      <c r="E4012" t="s">
        <v>1856</v>
      </c>
      <c r="F4012" t="s">
        <v>1737</v>
      </c>
      <c r="K4012" t="str">
        <f>IF(ISBLANK('Q 5'!C1155),"",IF('Q 5'!C1155="&lt;please select&gt;","",'Q 5'!C1155))</f>
        <v/>
      </c>
    </row>
    <row r="4013" spans="1:11" x14ac:dyDescent="0.3">
      <c r="A4013" t="s">
        <v>1886</v>
      </c>
      <c r="B4013" t="s">
        <v>1887</v>
      </c>
      <c r="C4013">
        <v>13</v>
      </c>
      <c r="D4013" t="s">
        <v>1447</v>
      </c>
      <c r="E4013" t="s">
        <v>1856</v>
      </c>
      <c r="F4013" t="s">
        <v>1737</v>
      </c>
      <c r="K4013" t="str">
        <f>IF(ISBLANK('Q 5'!C1156),"",IF('Q 5'!C1156="&lt;please select&gt;","",'Q 5'!C1156))</f>
        <v/>
      </c>
    </row>
    <row r="4014" spans="1:11" x14ac:dyDescent="0.3">
      <c r="A4014" t="s">
        <v>1886</v>
      </c>
      <c r="B4014" t="s">
        <v>1887</v>
      </c>
      <c r="C4014">
        <v>14</v>
      </c>
      <c r="D4014" t="s">
        <v>1447</v>
      </c>
      <c r="E4014" t="s">
        <v>1856</v>
      </c>
      <c r="F4014" t="s">
        <v>1737</v>
      </c>
      <c r="K4014" t="str">
        <f>IF(ISBLANK('Q 5'!C1157),"",IF('Q 5'!C1157="&lt;please select&gt;","",'Q 5'!C1157))</f>
        <v/>
      </c>
    </row>
    <row r="4015" spans="1:11" x14ac:dyDescent="0.3">
      <c r="A4015" t="s">
        <v>1886</v>
      </c>
      <c r="B4015" t="s">
        <v>1887</v>
      </c>
      <c r="C4015">
        <v>15</v>
      </c>
      <c r="D4015" t="s">
        <v>1447</v>
      </c>
      <c r="E4015" t="s">
        <v>1856</v>
      </c>
      <c r="F4015" t="s">
        <v>1737</v>
      </c>
      <c r="K4015" t="str">
        <f>IF(ISBLANK('Q 5'!C1158),"",IF('Q 5'!C1158="&lt;please select&gt;","",'Q 5'!C1158))</f>
        <v/>
      </c>
    </row>
    <row r="4016" spans="1:11" x14ac:dyDescent="0.3">
      <c r="A4016" t="s">
        <v>1886</v>
      </c>
      <c r="B4016" t="s">
        <v>1887</v>
      </c>
      <c r="C4016">
        <v>16</v>
      </c>
      <c r="D4016" t="s">
        <v>1447</v>
      </c>
      <c r="E4016" t="s">
        <v>1856</v>
      </c>
      <c r="F4016" t="s">
        <v>1737</v>
      </c>
      <c r="K4016" t="str">
        <f>IF(ISBLANK('Q 5'!C1159),"",IF('Q 5'!C1159="&lt;please select&gt;","",'Q 5'!C1159))</f>
        <v/>
      </c>
    </row>
    <row r="4017" spans="1:11" x14ac:dyDescent="0.3">
      <c r="A4017" t="s">
        <v>1886</v>
      </c>
      <c r="B4017" t="s">
        <v>1887</v>
      </c>
      <c r="C4017">
        <v>17</v>
      </c>
      <c r="D4017" t="s">
        <v>1447</v>
      </c>
      <c r="E4017" t="s">
        <v>1856</v>
      </c>
      <c r="F4017" t="s">
        <v>1737</v>
      </c>
      <c r="K4017" t="str">
        <f>IF(ISBLANK('Q 5'!C1160),"",IF('Q 5'!C1160="&lt;please select&gt;","",'Q 5'!C1160))</f>
        <v/>
      </c>
    </row>
    <row r="4018" spans="1:11" x14ac:dyDescent="0.3">
      <c r="A4018" t="s">
        <v>1886</v>
      </c>
      <c r="B4018" t="s">
        <v>1887</v>
      </c>
      <c r="C4018">
        <v>18</v>
      </c>
      <c r="D4018" t="s">
        <v>1447</v>
      </c>
      <c r="E4018" t="s">
        <v>1856</v>
      </c>
      <c r="F4018" t="s">
        <v>1737</v>
      </c>
      <c r="K4018" t="str">
        <f>IF(ISBLANK('Q 5'!C1161),"",IF('Q 5'!C1161="&lt;please select&gt;","",'Q 5'!C1161))</f>
        <v/>
      </c>
    </row>
    <row r="4019" spans="1:11" x14ac:dyDescent="0.3">
      <c r="A4019" t="s">
        <v>1886</v>
      </c>
      <c r="B4019" t="s">
        <v>1887</v>
      </c>
      <c r="C4019">
        <v>19</v>
      </c>
      <c r="D4019" t="s">
        <v>1447</v>
      </c>
      <c r="E4019" t="s">
        <v>1856</v>
      </c>
      <c r="F4019" t="s">
        <v>1737</v>
      </c>
      <c r="K4019" t="str">
        <f>IF(ISBLANK('Q 5'!C1162),"",IF('Q 5'!C1162="&lt;please select&gt;","",'Q 5'!C1162))</f>
        <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20 - Combustion of fuels as specified in Annex I of Directive 2003/87/EC</v>
      </c>
    </row>
    <row r="4072" spans="1:11" x14ac:dyDescent="0.3">
      <c r="A4072" t="s">
        <v>1886</v>
      </c>
      <c r="B4072" t="s">
        <v>1887</v>
      </c>
      <c r="C4072">
        <v>2</v>
      </c>
      <c r="D4072" t="s">
        <v>1447</v>
      </c>
      <c r="E4072" t="s">
        <v>1888</v>
      </c>
      <c r="F4072" t="s">
        <v>1737</v>
      </c>
      <c r="K4072" t="str">
        <f>IF(ISBLANK('Q 5'!D1145),"",IF('Q 5'!D1145="&lt;please select&gt;","",'Q 5'!D1145))</f>
        <v>20 - Combustion of fuels as specified in Annex I of Directive 2003/87/EC</v>
      </c>
    </row>
    <row r="4073" spans="1:11" x14ac:dyDescent="0.3">
      <c r="A4073" t="s">
        <v>1886</v>
      </c>
      <c r="B4073" t="s">
        <v>1887</v>
      </c>
      <c r="C4073">
        <v>3</v>
      </c>
      <c r="D4073" t="s">
        <v>1447</v>
      </c>
      <c r="E4073" t="s">
        <v>1888</v>
      </c>
      <c r="F4073" t="s">
        <v>1737</v>
      </c>
      <c r="K4073" t="str">
        <f>IF(ISBLANK('Q 5'!D1146),"",IF('Q 5'!D1146="&lt;please select&gt;","",'Q 5'!D1146))</f>
        <v>20 - Combustion of fuels as specified in Annex I of Directive 2003/87/EC</v>
      </c>
    </row>
    <row r="4074" spans="1:11" x14ac:dyDescent="0.3">
      <c r="A4074" t="s">
        <v>1886</v>
      </c>
      <c r="B4074" t="s">
        <v>1887</v>
      </c>
      <c r="C4074">
        <v>4</v>
      </c>
      <c r="D4074" t="s">
        <v>1447</v>
      </c>
      <c r="E4074" t="s">
        <v>1888</v>
      </c>
      <c r="F4074" t="s">
        <v>1737</v>
      </c>
      <c r="K4074" t="str">
        <f>IF(ISBLANK('Q 5'!D1147),"",IF('Q 5'!D1147="&lt;please select&gt;","",'Q 5'!D1147))</f>
        <v>20 - Combustion of fuels as specified in Annex I of Directive 2003/87/EC</v>
      </c>
    </row>
    <row r="4075" spans="1:11" x14ac:dyDescent="0.3">
      <c r="A4075" t="s">
        <v>1886</v>
      </c>
      <c r="B4075" t="s">
        <v>1887</v>
      </c>
      <c r="C4075">
        <v>5</v>
      </c>
      <c r="D4075" t="s">
        <v>1447</v>
      </c>
      <c r="E4075" t="s">
        <v>1888</v>
      </c>
      <c r="F4075" t="s">
        <v>1737</v>
      </c>
      <c r="K4075" t="str">
        <f>IF(ISBLANK('Q 5'!D1148),"",IF('Q 5'!D1148="&lt;please select&gt;","",'Q 5'!D1148))</f>
        <v>20 - Combustion of fuels as specified in Annex I of Directive 2003/87/EC</v>
      </c>
    </row>
    <row r="4076" spans="1:11" x14ac:dyDescent="0.3">
      <c r="A4076" t="s">
        <v>1886</v>
      </c>
      <c r="B4076" t="s">
        <v>1887</v>
      </c>
      <c r="C4076">
        <v>6</v>
      </c>
      <c r="D4076" t="s">
        <v>1447</v>
      </c>
      <c r="E4076" t="s">
        <v>1888</v>
      </c>
      <c r="F4076" t="s">
        <v>1737</v>
      </c>
      <c r="K4076" t="str">
        <f>IF(ISBLANK('Q 5'!D1149),"",IF('Q 5'!D1149="&lt;please select&gt;","",'Q 5'!D1149))</f>
        <v>29 - Production of cement clinker in rotary kilns as specified in Annex I of Directive 2003/87/ EC</v>
      </c>
    </row>
    <row r="4077" spans="1:11" x14ac:dyDescent="0.3">
      <c r="A4077" t="s">
        <v>1886</v>
      </c>
      <c r="B4077" t="s">
        <v>1887</v>
      </c>
      <c r="C4077">
        <v>7</v>
      </c>
      <c r="D4077" t="s">
        <v>1447</v>
      </c>
      <c r="E4077" t="s">
        <v>1888</v>
      </c>
      <c r="F4077" t="s">
        <v>1737</v>
      </c>
      <c r="K4077" t="str">
        <f>IF(ISBLANK('Q 5'!D1150),"",IF('Q 5'!D1150="&lt;please select&gt;","",'Q 5'!D1150))</f>
        <v xml:space="preserve">43 - Production of hydrogen (H2) and synthesis gas as specified in Annex I of Directive 2003/87/EC </v>
      </c>
    </row>
    <row r="4078" spans="1:11" x14ac:dyDescent="0.3">
      <c r="A4078" t="s">
        <v>1886</v>
      </c>
      <c r="B4078" t="s">
        <v>1887</v>
      </c>
      <c r="C4078">
        <v>8</v>
      </c>
      <c r="D4078" t="s">
        <v>1447</v>
      </c>
      <c r="E4078" t="s">
        <v>1888</v>
      </c>
      <c r="F4078" t="s">
        <v>1737</v>
      </c>
      <c r="K4078" t="str">
        <f>IF(ISBLANK('Q 5'!D1151),"",IF('Q 5'!D1151="&lt;please select&gt;","",'Q 5'!D1151))</f>
        <v xml:space="preserve">42 - Production of bulk organic chemicals as specified in Annex I of Directive 2003/87/EC </v>
      </c>
    </row>
    <row r="4079" spans="1:11" x14ac:dyDescent="0.3">
      <c r="A4079" t="s">
        <v>1886</v>
      </c>
      <c r="B4079" t="s">
        <v>1887</v>
      </c>
      <c r="C4079">
        <v>9</v>
      </c>
      <c r="D4079" t="s">
        <v>1447</v>
      </c>
      <c r="E4079" t="s">
        <v>1888</v>
      </c>
      <c r="F4079" t="s">
        <v>1737</v>
      </c>
      <c r="K4079" t="str">
        <f>IF(ISBLANK('Q 5'!D1152),"",IF('Q 5'!D1152="&lt;please select&gt;","",'Q 5'!D1152))</f>
        <v>24 - Production of pig iron or steel as specified in Annex I of Directive 2003/87/EC</v>
      </c>
    </row>
    <row r="4080" spans="1:11" x14ac:dyDescent="0.3">
      <c r="A4080" t="s">
        <v>1886</v>
      </c>
      <c r="B4080" t="s">
        <v>1887</v>
      </c>
      <c r="C4080">
        <v>10</v>
      </c>
      <c r="D4080" t="s">
        <v>1447</v>
      </c>
      <c r="E4080" t="s">
        <v>1888</v>
      </c>
      <c r="F4080" t="s">
        <v>1737</v>
      </c>
      <c r="K4080" t="str">
        <f>IF(ISBLANK('Q 5'!D1153),"",IF('Q 5'!D1153="&lt;please select&gt;","",'Q 5'!D1153))</f>
        <v/>
      </c>
    </row>
    <row r="4081" spans="1:11" x14ac:dyDescent="0.3">
      <c r="A4081" t="s">
        <v>1886</v>
      </c>
      <c r="B4081" t="s">
        <v>1887</v>
      </c>
      <c r="C4081">
        <v>11</v>
      </c>
      <c r="D4081" t="s">
        <v>1447</v>
      </c>
      <c r="E4081" t="s">
        <v>1888</v>
      </c>
      <c r="F4081" t="s">
        <v>1737</v>
      </c>
      <c r="K4081" t="str">
        <f>IF(ISBLANK('Q 5'!D1154),"",IF('Q 5'!D1154="&lt;please select&gt;","",'Q 5'!D1154))</f>
        <v/>
      </c>
    </row>
    <row r="4082" spans="1:11" x14ac:dyDescent="0.3">
      <c r="A4082" t="s">
        <v>1886</v>
      </c>
      <c r="B4082" t="s">
        <v>1887</v>
      </c>
      <c r="C4082">
        <v>12</v>
      </c>
      <c r="D4082" t="s">
        <v>1447</v>
      </c>
      <c r="E4082" t="s">
        <v>1888</v>
      </c>
      <c r="F4082" t="s">
        <v>1737</v>
      </c>
      <c r="K4082" t="str">
        <f>IF(ISBLANK('Q 5'!D1155),"",IF('Q 5'!D1155="&lt;please select&gt;","",'Q 5'!D1155))</f>
        <v/>
      </c>
    </row>
    <row r="4083" spans="1:11" x14ac:dyDescent="0.3">
      <c r="A4083" t="s">
        <v>1886</v>
      </c>
      <c r="B4083" t="s">
        <v>1887</v>
      </c>
      <c r="C4083">
        <v>13</v>
      </c>
      <c r="D4083" t="s">
        <v>1447</v>
      </c>
      <c r="E4083" t="s">
        <v>1888</v>
      </c>
      <c r="F4083" t="s">
        <v>1737</v>
      </c>
      <c r="K4083" t="str">
        <f>IF(ISBLANK('Q 5'!D1156),"",IF('Q 5'!D1156="&lt;please select&gt;","",'Q 5'!D1156))</f>
        <v/>
      </c>
    </row>
    <row r="4084" spans="1:11" x14ac:dyDescent="0.3">
      <c r="A4084" t="s">
        <v>1886</v>
      </c>
      <c r="B4084" t="s">
        <v>1887</v>
      </c>
      <c r="C4084">
        <v>14</v>
      </c>
      <c r="D4084" t="s">
        <v>1447</v>
      </c>
      <c r="E4084" t="s">
        <v>1888</v>
      </c>
      <c r="F4084" t="s">
        <v>1737</v>
      </c>
      <c r="K4084" t="str">
        <f>IF(ISBLANK('Q 5'!D1157),"",IF('Q 5'!D1157="&lt;please select&gt;","",'Q 5'!D1157))</f>
        <v/>
      </c>
    </row>
    <row r="4085" spans="1:11" x14ac:dyDescent="0.3">
      <c r="A4085" t="s">
        <v>1886</v>
      </c>
      <c r="B4085" t="s">
        <v>1887</v>
      </c>
      <c r="C4085">
        <v>15</v>
      </c>
      <c r="D4085" t="s">
        <v>1447</v>
      </c>
      <c r="E4085" t="s">
        <v>1888</v>
      </c>
      <c r="F4085" t="s">
        <v>1737</v>
      </c>
      <c r="K4085" t="str">
        <f>IF(ISBLANK('Q 5'!D1158),"",IF('Q 5'!D1158="&lt;please select&gt;","",'Q 5'!D1158))</f>
        <v/>
      </c>
    </row>
    <row r="4086" spans="1:11" x14ac:dyDescent="0.3">
      <c r="A4086" t="s">
        <v>1886</v>
      </c>
      <c r="B4086" t="s">
        <v>1887</v>
      </c>
      <c r="C4086">
        <v>16</v>
      </c>
      <c r="D4086" t="s">
        <v>1447</v>
      </c>
      <c r="E4086" t="s">
        <v>1888</v>
      </c>
      <c r="F4086" t="s">
        <v>1737</v>
      </c>
      <c r="K4086" t="str">
        <f>IF(ISBLANK('Q 5'!D1159),"",IF('Q 5'!D1159="&lt;please select&gt;","",'Q 5'!D1159))</f>
        <v/>
      </c>
    </row>
    <row r="4087" spans="1:11" x14ac:dyDescent="0.3">
      <c r="A4087" t="s">
        <v>1886</v>
      </c>
      <c r="B4087" t="s">
        <v>1887</v>
      </c>
      <c r="C4087">
        <v>17</v>
      </c>
      <c r="D4087" t="s">
        <v>1447</v>
      </c>
      <c r="E4087" t="s">
        <v>1888</v>
      </c>
      <c r="F4087" t="s">
        <v>1737</v>
      </c>
      <c r="K4087" t="str">
        <f>IF(ISBLANK('Q 5'!D1160),"",IF('Q 5'!D1160="&lt;please select&gt;","",'Q 5'!D1160))</f>
        <v/>
      </c>
    </row>
    <row r="4088" spans="1:11" x14ac:dyDescent="0.3">
      <c r="A4088" t="s">
        <v>1886</v>
      </c>
      <c r="B4088" t="s">
        <v>1887</v>
      </c>
      <c r="C4088">
        <v>18</v>
      </c>
      <c r="D4088" t="s">
        <v>1447</v>
      </c>
      <c r="E4088" t="s">
        <v>1888</v>
      </c>
      <c r="F4088" t="s">
        <v>1737</v>
      </c>
      <c r="K4088" t="str">
        <f>IF(ISBLANK('Q 5'!D1161),"",IF('Q 5'!D1161="&lt;please select&gt;","",'Q 5'!D1161))</f>
        <v/>
      </c>
    </row>
    <row r="4089" spans="1:11" x14ac:dyDescent="0.3">
      <c r="A4089" t="s">
        <v>1886</v>
      </c>
      <c r="B4089" t="s">
        <v>1887</v>
      </c>
      <c r="C4089">
        <v>19</v>
      </c>
      <c r="D4089" t="s">
        <v>1447</v>
      </c>
      <c r="E4089" t="s">
        <v>1888</v>
      </c>
      <c r="F4089" t="s">
        <v>1737</v>
      </c>
      <c r="K4089" t="str">
        <f>IF(ISBLANK('Q 5'!D1162),"",IF('Q 5'!D1162="&lt;please select&gt;","",'Q 5'!D1162))</f>
        <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Improvement report in accordance with Article 69(1)</v>
      </c>
    </row>
    <row r="4142" spans="1:11" x14ac:dyDescent="0.3">
      <c r="A4142" t="s">
        <v>1886</v>
      </c>
      <c r="B4142" t="s">
        <v>1887</v>
      </c>
      <c r="C4142">
        <v>2</v>
      </c>
      <c r="D4142" t="s">
        <v>1447</v>
      </c>
      <c r="E4142" t="s">
        <v>1889</v>
      </c>
      <c r="F4142" t="s">
        <v>1737</v>
      </c>
      <c r="K4142" t="str">
        <f>IF(ISBLANK('Q 5'!F1145),"",IF('Q 5'!F1145="&lt;please select&gt;","",'Q 5'!F1145))</f>
        <v>Improvement report in accordance with Article 69(1)</v>
      </c>
    </row>
    <row r="4143" spans="1:11" x14ac:dyDescent="0.3">
      <c r="A4143" t="s">
        <v>1886</v>
      </c>
      <c r="B4143" t="s">
        <v>1887</v>
      </c>
      <c r="C4143">
        <v>3</v>
      </c>
      <c r="D4143" t="s">
        <v>1447</v>
      </c>
      <c r="E4143" t="s">
        <v>1889</v>
      </c>
      <c r="F4143" t="s">
        <v>1737</v>
      </c>
      <c r="K4143" t="str">
        <f>IF(ISBLANK('Q 5'!F1146),"",IF('Q 5'!F1146="&lt;please select&gt;","",'Q 5'!F1146))</f>
        <v>Improvement report in accordance with Article 69(1)</v>
      </c>
    </row>
    <row r="4144" spans="1:11" x14ac:dyDescent="0.3">
      <c r="A4144" t="s">
        <v>1886</v>
      </c>
      <c r="B4144" t="s">
        <v>1887</v>
      </c>
      <c r="C4144">
        <v>4</v>
      </c>
      <c r="D4144" t="s">
        <v>1447</v>
      </c>
      <c r="E4144" t="s">
        <v>1889</v>
      </c>
      <c r="F4144" t="s">
        <v>1737</v>
      </c>
      <c r="K4144" t="str">
        <f>IF(ISBLANK('Q 5'!F1147),"",IF('Q 5'!F1147="&lt;please select&gt;","",'Q 5'!F1147))</f>
        <v>Improvement report according to Article 69(4)</v>
      </c>
    </row>
    <row r="4145" spans="1:11" x14ac:dyDescent="0.3">
      <c r="A4145" t="s">
        <v>1886</v>
      </c>
      <c r="B4145" t="s">
        <v>1887</v>
      </c>
      <c r="C4145">
        <v>5</v>
      </c>
      <c r="D4145" t="s">
        <v>1447</v>
      </c>
      <c r="E4145" t="s">
        <v>1889</v>
      </c>
      <c r="F4145" t="s">
        <v>1737</v>
      </c>
      <c r="K4145" t="str">
        <f>IF(ISBLANK('Q 5'!F1148),"",IF('Q 5'!F1148="&lt;please select&gt;","",'Q 5'!F1148))</f>
        <v>Improvement report according to Article 69(4)</v>
      </c>
    </row>
    <row r="4146" spans="1:11" x14ac:dyDescent="0.3">
      <c r="A4146" t="s">
        <v>1886</v>
      </c>
      <c r="B4146" t="s">
        <v>1887</v>
      </c>
      <c r="C4146">
        <v>6</v>
      </c>
      <c r="D4146" t="s">
        <v>1447</v>
      </c>
      <c r="E4146" t="s">
        <v>1889</v>
      </c>
      <c r="F4146" t="s">
        <v>1737</v>
      </c>
      <c r="K4146" t="str">
        <f>IF(ISBLANK('Q 5'!F1149),"",IF('Q 5'!F1149="&lt;please select&gt;","",'Q 5'!F1149))</f>
        <v>Improvement report according to Article 69(4)</v>
      </c>
    </row>
    <row r="4147" spans="1:11" x14ac:dyDescent="0.3">
      <c r="A4147" t="s">
        <v>1886</v>
      </c>
      <c r="B4147" t="s">
        <v>1887</v>
      </c>
      <c r="C4147">
        <v>7</v>
      </c>
      <c r="D4147" t="s">
        <v>1447</v>
      </c>
      <c r="E4147" t="s">
        <v>1889</v>
      </c>
      <c r="F4147" t="s">
        <v>1737</v>
      </c>
      <c r="K4147" t="str">
        <f>IF(ISBLANK('Q 5'!F1150),"",IF('Q 5'!F1150="&lt;please select&gt;","",'Q 5'!F1150))</f>
        <v>Improvement report according to Article 69(4)</v>
      </c>
    </row>
    <row r="4148" spans="1:11" x14ac:dyDescent="0.3">
      <c r="A4148" t="s">
        <v>1886</v>
      </c>
      <c r="B4148" t="s">
        <v>1887</v>
      </c>
      <c r="C4148">
        <v>8</v>
      </c>
      <c r="D4148" t="s">
        <v>1447</v>
      </c>
      <c r="E4148" t="s">
        <v>1889</v>
      </c>
      <c r="F4148" t="s">
        <v>1737</v>
      </c>
      <c r="K4148" t="str">
        <f>IF(ISBLANK('Q 5'!F1151),"",IF('Q 5'!F1151="&lt;please select&gt;","",'Q 5'!F1151))</f>
        <v>Improvement report according to Article 69(4)</v>
      </c>
    </row>
    <row r="4149" spans="1:11" x14ac:dyDescent="0.3">
      <c r="A4149" t="s">
        <v>1886</v>
      </c>
      <c r="B4149" t="s">
        <v>1887</v>
      </c>
      <c r="C4149">
        <v>9</v>
      </c>
      <c r="D4149" t="s">
        <v>1447</v>
      </c>
      <c r="E4149" t="s">
        <v>1889</v>
      </c>
      <c r="F4149" t="s">
        <v>1737</v>
      </c>
      <c r="K4149" t="str">
        <f>IF(ISBLANK('Q 5'!F1152),"",IF('Q 5'!F1152="&lt;please select&gt;","",'Q 5'!F1152))</f>
        <v>Improvement report according to Article 69(4)</v>
      </c>
    </row>
    <row r="4150" spans="1:11" x14ac:dyDescent="0.3">
      <c r="A4150" t="s">
        <v>1886</v>
      </c>
      <c r="B4150" t="s">
        <v>1887</v>
      </c>
      <c r="C4150">
        <v>10</v>
      </c>
      <c r="D4150" t="s">
        <v>1447</v>
      </c>
      <c r="E4150" t="s">
        <v>1889</v>
      </c>
      <c r="F4150" t="s">
        <v>1737</v>
      </c>
      <c r="K4150" t="str">
        <f>IF(ISBLANK('Q 5'!F1153),"",IF('Q 5'!F1153="&lt;please select&gt;","",'Q 5'!F1153))</f>
        <v/>
      </c>
    </row>
    <row r="4151" spans="1:11" x14ac:dyDescent="0.3">
      <c r="A4151" t="s">
        <v>1886</v>
      </c>
      <c r="B4151" t="s">
        <v>1887</v>
      </c>
      <c r="C4151">
        <v>11</v>
      </c>
      <c r="D4151" t="s">
        <v>1447</v>
      </c>
      <c r="E4151" t="s">
        <v>1889</v>
      </c>
      <c r="F4151" t="s">
        <v>1737</v>
      </c>
      <c r="K4151" t="str">
        <f>IF(ISBLANK('Q 5'!F1154),"",IF('Q 5'!F1154="&lt;please select&gt;","",'Q 5'!F1154))</f>
        <v/>
      </c>
    </row>
    <row r="4152" spans="1:11" x14ac:dyDescent="0.3">
      <c r="A4152" t="s">
        <v>1886</v>
      </c>
      <c r="B4152" t="s">
        <v>1887</v>
      </c>
      <c r="C4152">
        <v>12</v>
      </c>
      <c r="D4152" t="s">
        <v>1447</v>
      </c>
      <c r="E4152" t="s">
        <v>1889</v>
      </c>
      <c r="F4152" t="s">
        <v>1737</v>
      </c>
      <c r="K4152" t="str">
        <f>IF(ISBLANK('Q 5'!F1155),"",IF('Q 5'!F1155="&lt;please select&gt;","",'Q 5'!F1155))</f>
        <v/>
      </c>
    </row>
    <row r="4153" spans="1:11" x14ac:dyDescent="0.3">
      <c r="A4153" t="s">
        <v>1886</v>
      </c>
      <c r="B4153" t="s">
        <v>1887</v>
      </c>
      <c r="C4153">
        <v>13</v>
      </c>
      <c r="D4153" t="s">
        <v>1447</v>
      </c>
      <c r="E4153" t="s">
        <v>1889</v>
      </c>
      <c r="F4153" t="s">
        <v>1737</v>
      </c>
      <c r="K4153" t="str">
        <f>IF(ISBLANK('Q 5'!F1156),"",IF('Q 5'!F1156="&lt;please select&gt;","",'Q 5'!F1156))</f>
        <v/>
      </c>
    </row>
    <row r="4154" spans="1:11" x14ac:dyDescent="0.3">
      <c r="A4154" t="s">
        <v>1886</v>
      </c>
      <c r="B4154" t="s">
        <v>1887</v>
      </c>
      <c r="C4154">
        <v>14</v>
      </c>
      <c r="D4154" t="s">
        <v>1447</v>
      </c>
      <c r="E4154" t="s">
        <v>1889</v>
      </c>
      <c r="F4154" t="s">
        <v>1737</v>
      </c>
      <c r="K4154" t="str">
        <f>IF(ISBLANK('Q 5'!F1157),"",IF('Q 5'!F1157="&lt;please select&gt;","",'Q 5'!F1157))</f>
        <v/>
      </c>
    </row>
    <row r="4155" spans="1:11" x14ac:dyDescent="0.3">
      <c r="A4155" t="s">
        <v>1886</v>
      </c>
      <c r="B4155" t="s">
        <v>1887</v>
      </c>
      <c r="C4155">
        <v>15</v>
      </c>
      <c r="D4155" t="s">
        <v>1447</v>
      </c>
      <c r="E4155" t="s">
        <v>1889</v>
      </c>
      <c r="F4155" t="s">
        <v>1737</v>
      </c>
      <c r="K4155" t="str">
        <f>IF(ISBLANK('Q 5'!F1158),"",IF('Q 5'!F1158="&lt;please select&gt;","",'Q 5'!F1158))</f>
        <v/>
      </c>
    </row>
    <row r="4156" spans="1:11" x14ac:dyDescent="0.3">
      <c r="A4156" t="s">
        <v>1886</v>
      </c>
      <c r="B4156" t="s">
        <v>1887</v>
      </c>
      <c r="C4156">
        <v>16</v>
      </c>
      <c r="D4156" t="s">
        <v>1447</v>
      </c>
      <c r="E4156" t="s">
        <v>1889</v>
      </c>
      <c r="F4156" t="s">
        <v>1737</v>
      </c>
      <c r="K4156" t="str">
        <f>IF(ISBLANK('Q 5'!F1159),"",IF('Q 5'!F1159="&lt;please select&gt;","",'Q 5'!F1159))</f>
        <v/>
      </c>
    </row>
    <row r="4157" spans="1:11" x14ac:dyDescent="0.3">
      <c r="A4157" t="s">
        <v>1886</v>
      </c>
      <c r="B4157" t="s">
        <v>1887</v>
      </c>
      <c r="C4157">
        <v>17</v>
      </c>
      <c r="D4157" t="s">
        <v>1447</v>
      </c>
      <c r="E4157" t="s">
        <v>1889</v>
      </c>
      <c r="F4157" t="s">
        <v>1737</v>
      </c>
      <c r="K4157" t="str">
        <f>IF(ISBLANK('Q 5'!F1160),"",IF('Q 5'!F1160="&lt;please select&gt;","",'Q 5'!F1160))</f>
        <v/>
      </c>
    </row>
    <row r="4158" spans="1:11" x14ac:dyDescent="0.3">
      <c r="A4158" t="s">
        <v>1886</v>
      </c>
      <c r="B4158" t="s">
        <v>1887</v>
      </c>
      <c r="C4158">
        <v>18</v>
      </c>
      <c r="D4158" t="s">
        <v>1447</v>
      </c>
      <c r="E4158" t="s">
        <v>1889</v>
      </c>
      <c r="F4158" t="s">
        <v>1737</v>
      </c>
      <c r="K4158" t="str">
        <f>IF(ISBLANK('Q 5'!F1161),"",IF('Q 5'!F1161="&lt;please select&gt;","",'Q 5'!F1161))</f>
        <v/>
      </c>
    </row>
    <row r="4159" spans="1:11" x14ac:dyDescent="0.3">
      <c r="A4159" t="s">
        <v>1886</v>
      </c>
      <c r="B4159" t="s">
        <v>1887</v>
      </c>
      <c r="C4159">
        <v>19</v>
      </c>
      <c r="D4159" t="s">
        <v>1447</v>
      </c>
      <c r="E4159" t="s">
        <v>1889</v>
      </c>
      <c r="F4159" t="s">
        <v>1737</v>
      </c>
      <c r="K4159" t="str">
        <f>IF(ISBLANK('Q 5'!F1162),"",IF('Q 5'!F1162="&lt;please select&gt;","",'Q 5'!F1162))</f>
        <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2</v>
      </c>
    </row>
    <row r="4212" spans="1:11" x14ac:dyDescent="0.3">
      <c r="A4212" t="s">
        <v>1886</v>
      </c>
      <c r="B4212" t="s">
        <v>1887</v>
      </c>
      <c r="C4212">
        <v>2</v>
      </c>
      <c r="D4212" t="s">
        <v>1447</v>
      </c>
      <c r="E4212" t="s">
        <v>1890</v>
      </c>
      <c r="F4212" t="s">
        <v>1748</v>
      </c>
      <c r="H4212" t="str">
        <f>IF(ISBLANK('Q 5'!H1145),"",IF('Q 5'!H1145="&lt;please select&gt;","",'Q 5'!H1145))</f>
        <v>2</v>
      </c>
    </row>
    <row r="4213" spans="1:11" x14ac:dyDescent="0.3">
      <c r="A4213" t="s">
        <v>1886</v>
      </c>
      <c r="B4213" t="s">
        <v>1887</v>
      </c>
      <c r="C4213">
        <v>3</v>
      </c>
      <c r="D4213" t="s">
        <v>1447</v>
      </c>
      <c r="E4213" t="s">
        <v>1890</v>
      </c>
      <c r="F4213" t="s">
        <v>1748</v>
      </c>
      <c r="H4213" t="str">
        <f>IF(ISBLANK('Q 5'!H1146),"",IF('Q 5'!H1146="&lt;please select&gt;","",'Q 5'!H1146))</f>
        <v>12</v>
      </c>
    </row>
    <row r="4214" spans="1:11" x14ac:dyDescent="0.3">
      <c r="A4214" t="s">
        <v>1886</v>
      </c>
      <c r="B4214" t="s">
        <v>1887</v>
      </c>
      <c r="C4214">
        <v>4</v>
      </c>
      <c r="D4214" t="s">
        <v>1447</v>
      </c>
      <c r="E4214" t="s">
        <v>1890</v>
      </c>
      <c r="F4214" t="s">
        <v>1748</v>
      </c>
      <c r="H4214" t="str">
        <f>IF(ISBLANK('Q 5'!H1147),"",IF('Q 5'!H1147="&lt;please select&gt;","",'Q 5'!H1147))</f>
        <v>3</v>
      </c>
    </row>
    <row r="4215" spans="1:11" x14ac:dyDescent="0.3">
      <c r="A4215" t="s">
        <v>1886</v>
      </c>
      <c r="B4215" t="s">
        <v>1887</v>
      </c>
      <c r="C4215">
        <v>5</v>
      </c>
      <c r="D4215" t="s">
        <v>1447</v>
      </c>
      <c r="E4215" t="s">
        <v>1890</v>
      </c>
      <c r="F4215" t="s">
        <v>1748</v>
      </c>
      <c r="H4215" t="str">
        <f>IF(ISBLANK('Q 5'!H1148),"",IF('Q 5'!H1148="&lt;please select&gt;","",'Q 5'!H1148))</f>
        <v>2</v>
      </c>
    </row>
    <row r="4216" spans="1:11" x14ac:dyDescent="0.3">
      <c r="A4216" t="s">
        <v>1886</v>
      </c>
      <c r="B4216" t="s">
        <v>1887</v>
      </c>
      <c r="C4216">
        <v>6</v>
      </c>
      <c r="D4216" t="s">
        <v>1447</v>
      </c>
      <c r="E4216" t="s">
        <v>1890</v>
      </c>
      <c r="F4216" t="s">
        <v>1748</v>
      </c>
      <c r="H4216" t="str">
        <f>IF(ISBLANK('Q 5'!H1149),"",IF('Q 5'!H1149="&lt;please select&gt;","",'Q 5'!H1149))</f>
        <v>3</v>
      </c>
    </row>
    <row r="4217" spans="1:11" x14ac:dyDescent="0.3">
      <c r="A4217" t="s">
        <v>1886</v>
      </c>
      <c r="B4217" t="s">
        <v>1887</v>
      </c>
      <c r="C4217">
        <v>7</v>
      </c>
      <c r="D4217" t="s">
        <v>1447</v>
      </c>
      <c r="E4217" t="s">
        <v>1890</v>
      </c>
      <c r="F4217" t="s">
        <v>1748</v>
      </c>
      <c r="H4217" t="str">
        <f>IF(ISBLANK('Q 5'!H1150),"",IF('Q 5'!H1150="&lt;please select&gt;","",'Q 5'!H1150))</f>
        <v>1</v>
      </c>
    </row>
    <row r="4218" spans="1:11" x14ac:dyDescent="0.3">
      <c r="A4218" t="s">
        <v>1886</v>
      </c>
      <c r="B4218" t="s">
        <v>1887</v>
      </c>
      <c r="C4218">
        <v>8</v>
      </c>
      <c r="D4218" t="s">
        <v>1447</v>
      </c>
      <c r="E4218" t="s">
        <v>1890</v>
      </c>
      <c r="F4218" t="s">
        <v>1748</v>
      </c>
      <c r="H4218" t="str">
        <f>IF(ISBLANK('Q 5'!H1151),"",IF('Q 5'!H1151="&lt;please select&gt;","",'Q 5'!H1151))</f>
        <v>1</v>
      </c>
    </row>
    <row r="4219" spans="1:11" x14ac:dyDescent="0.3">
      <c r="A4219" t="s">
        <v>1886</v>
      </c>
      <c r="B4219" t="s">
        <v>1887</v>
      </c>
      <c r="C4219">
        <v>9</v>
      </c>
      <c r="D4219" t="s">
        <v>1447</v>
      </c>
      <c r="E4219" t="s">
        <v>1890</v>
      </c>
      <c r="F4219" t="s">
        <v>1748</v>
      </c>
      <c r="H4219" t="str">
        <f>IF(ISBLANK('Q 5'!H1152),"",IF('Q 5'!H1152="&lt;please select&gt;","",'Q 5'!H1152))</f>
        <v>1</v>
      </c>
    </row>
    <row r="4220" spans="1:11" x14ac:dyDescent="0.3">
      <c r="A4220" t="s">
        <v>1886</v>
      </c>
      <c r="B4220" t="s">
        <v>1887</v>
      </c>
      <c r="C4220">
        <v>10</v>
      </c>
      <c r="D4220" t="s">
        <v>1447</v>
      </c>
      <c r="E4220" t="s">
        <v>1890</v>
      </c>
      <c r="F4220" t="s">
        <v>1748</v>
      </c>
      <c r="H4220" t="str">
        <f>IF(ISBLANK('Q 5'!H1153),"",IF('Q 5'!H1153="&lt;please select&gt;","",'Q 5'!H1153))</f>
        <v/>
      </c>
    </row>
    <row r="4221" spans="1:11" x14ac:dyDescent="0.3">
      <c r="A4221" t="s">
        <v>1886</v>
      </c>
      <c r="B4221" t="s">
        <v>1887</v>
      </c>
      <c r="C4221">
        <v>11</v>
      </c>
      <c r="D4221" t="s">
        <v>1447</v>
      </c>
      <c r="E4221" t="s">
        <v>1890</v>
      </c>
      <c r="F4221" t="s">
        <v>1748</v>
      </c>
      <c r="H4221" t="str">
        <f>IF(ISBLANK('Q 5'!H1154),"",IF('Q 5'!H1154="&lt;please select&gt;","",'Q 5'!H1154))</f>
        <v/>
      </c>
    </row>
    <row r="4222" spans="1:11" x14ac:dyDescent="0.3">
      <c r="A4222" t="s">
        <v>1886</v>
      </c>
      <c r="B4222" t="s">
        <v>1887</v>
      </c>
      <c r="C4222">
        <v>12</v>
      </c>
      <c r="D4222" t="s">
        <v>1447</v>
      </c>
      <c r="E4222" t="s">
        <v>1890</v>
      </c>
      <c r="F4222" t="s">
        <v>1748</v>
      </c>
      <c r="H4222" t="str">
        <f>IF(ISBLANK('Q 5'!H1155),"",IF('Q 5'!H1155="&lt;please select&gt;","",'Q 5'!H1155))</f>
        <v/>
      </c>
    </row>
    <row r="4223" spans="1:11" x14ac:dyDescent="0.3">
      <c r="A4223" t="s">
        <v>1886</v>
      </c>
      <c r="B4223" t="s">
        <v>1887</v>
      </c>
      <c r="C4223">
        <v>13</v>
      </c>
      <c r="D4223" t="s">
        <v>1447</v>
      </c>
      <c r="E4223" t="s">
        <v>1890</v>
      </c>
      <c r="F4223" t="s">
        <v>1748</v>
      </c>
      <c r="H4223" t="str">
        <f>IF(ISBLANK('Q 5'!H1156),"",IF('Q 5'!H1156="&lt;please select&gt;","",'Q 5'!H1156))</f>
        <v/>
      </c>
    </row>
    <row r="4224" spans="1:11" x14ac:dyDescent="0.3">
      <c r="A4224" t="s">
        <v>1886</v>
      </c>
      <c r="B4224" t="s">
        <v>1887</v>
      </c>
      <c r="C4224">
        <v>14</v>
      </c>
      <c r="D4224" t="s">
        <v>1447</v>
      </c>
      <c r="E4224" t="s">
        <v>1890</v>
      </c>
      <c r="F4224" t="s">
        <v>1748</v>
      </c>
      <c r="H4224" t="str">
        <f>IF(ISBLANK('Q 5'!H1157),"",IF('Q 5'!H1157="&lt;please select&gt;","",'Q 5'!H1157))</f>
        <v/>
      </c>
    </row>
    <row r="4225" spans="1:8" x14ac:dyDescent="0.3">
      <c r="A4225" t="s">
        <v>1886</v>
      </c>
      <c r="B4225" t="s">
        <v>1887</v>
      </c>
      <c r="C4225">
        <v>15</v>
      </c>
      <c r="D4225" t="s">
        <v>1447</v>
      </c>
      <c r="E4225" t="s">
        <v>1890</v>
      </c>
      <c r="F4225" t="s">
        <v>1748</v>
      </c>
      <c r="H4225" t="str">
        <f>IF(ISBLANK('Q 5'!H1158),"",IF('Q 5'!H1158="&lt;please select&gt;","",'Q 5'!H1158))</f>
        <v/>
      </c>
    </row>
    <row r="4226" spans="1:8" x14ac:dyDescent="0.3">
      <c r="A4226" t="s">
        <v>1886</v>
      </c>
      <c r="B4226" t="s">
        <v>1887</v>
      </c>
      <c r="C4226">
        <v>16</v>
      </c>
      <c r="D4226" t="s">
        <v>1447</v>
      </c>
      <c r="E4226" t="s">
        <v>1890</v>
      </c>
      <c r="F4226" t="s">
        <v>1748</v>
      </c>
      <c r="H4226" t="str">
        <f>IF(ISBLANK('Q 5'!H1159),"",IF('Q 5'!H1159="&lt;please select&gt;","",'Q 5'!H1159))</f>
        <v/>
      </c>
    </row>
    <row r="4227" spans="1:8" x14ac:dyDescent="0.3">
      <c r="A4227" t="s">
        <v>1886</v>
      </c>
      <c r="B4227" t="s">
        <v>1887</v>
      </c>
      <c r="C4227">
        <v>17</v>
      </c>
      <c r="D4227" t="s">
        <v>1447</v>
      </c>
      <c r="E4227" t="s">
        <v>1890</v>
      </c>
      <c r="F4227" t="s">
        <v>1748</v>
      </c>
      <c r="H4227" t="str">
        <f>IF(ISBLANK('Q 5'!H1160),"",IF('Q 5'!H1160="&lt;please select&gt;","",'Q 5'!H1160))</f>
        <v/>
      </c>
    </row>
    <row r="4228" spans="1:8" x14ac:dyDescent="0.3">
      <c r="A4228" t="s">
        <v>1886</v>
      </c>
      <c r="B4228" t="s">
        <v>1887</v>
      </c>
      <c r="C4228">
        <v>18</v>
      </c>
      <c r="D4228" t="s">
        <v>1447</v>
      </c>
      <c r="E4228" t="s">
        <v>1890</v>
      </c>
      <c r="F4228" t="s">
        <v>1748</v>
      </c>
      <c r="H4228" t="str">
        <f>IF(ISBLANK('Q 5'!H1161),"",IF('Q 5'!H1161="&lt;please select&gt;","",'Q 5'!H1161))</f>
        <v/>
      </c>
    </row>
    <row r="4229" spans="1:8" x14ac:dyDescent="0.3">
      <c r="A4229" t="s">
        <v>1886</v>
      </c>
      <c r="B4229" t="s">
        <v>1887</v>
      </c>
      <c r="C4229">
        <v>19</v>
      </c>
      <c r="D4229" t="s">
        <v>1447</v>
      </c>
      <c r="E4229" t="s">
        <v>1890</v>
      </c>
      <c r="F4229" t="s">
        <v>1748</v>
      </c>
      <c r="H4229" t="str">
        <f>IF(ISBLANK('Q 5'!H1162),"",IF('Q 5'!H1162="&lt;please select&gt;","",'Q 5'!H1162))</f>
        <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2</v>
      </c>
    </row>
    <row r="4282" spans="1:8" x14ac:dyDescent="0.3">
      <c r="A4282" t="s">
        <v>1886</v>
      </c>
      <c r="B4282" t="s">
        <v>1887</v>
      </c>
      <c r="C4282">
        <v>2</v>
      </c>
      <c r="D4282" t="s">
        <v>1447</v>
      </c>
      <c r="E4282" t="s">
        <v>1891</v>
      </c>
      <c r="F4282" t="s">
        <v>1748</v>
      </c>
      <c r="H4282" t="str">
        <f>IF(ISBLANK('Q 5'!I1145),"",IF('Q 5'!I1145="&lt;please select&gt;","",'Q 5'!I1145))</f>
        <v>2</v>
      </c>
    </row>
    <row r="4283" spans="1:8" x14ac:dyDescent="0.3">
      <c r="A4283" t="s">
        <v>1886</v>
      </c>
      <c r="B4283" t="s">
        <v>1887</v>
      </c>
      <c r="C4283">
        <v>3</v>
      </c>
      <c r="D4283" t="s">
        <v>1447</v>
      </c>
      <c r="E4283" t="s">
        <v>1891</v>
      </c>
      <c r="F4283" t="s">
        <v>1748</v>
      </c>
      <c r="H4283" t="str">
        <f>IF(ISBLANK('Q 5'!I1146),"",IF('Q 5'!I1146="&lt;please select&gt;","",'Q 5'!I1146))</f>
        <v>12</v>
      </c>
    </row>
    <row r="4284" spans="1:8" x14ac:dyDescent="0.3">
      <c r="A4284" t="s">
        <v>1886</v>
      </c>
      <c r="B4284" t="s">
        <v>1887</v>
      </c>
      <c r="C4284">
        <v>4</v>
      </c>
      <c r="D4284" t="s">
        <v>1447</v>
      </c>
      <c r="E4284" t="s">
        <v>1891</v>
      </c>
      <c r="F4284" t="s">
        <v>1748</v>
      </c>
      <c r="H4284" t="str">
        <f>IF(ISBLANK('Q 5'!I1147),"",IF('Q 5'!I1147="&lt;please select&gt;","",'Q 5'!I1147))</f>
        <v>1</v>
      </c>
    </row>
    <row r="4285" spans="1:8" x14ac:dyDescent="0.3">
      <c r="A4285" t="s">
        <v>1886</v>
      </c>
      <c r="B4285" t="s">
        <v>1887</v>
      </c>
      <c r="C4285">
        <v>5</v>
      </c>
      <c r="D4285" t="s">
        <v>1447</v>
      </c>
      <c r="E4285" t="s">
        <v>1891</v>
      </c>
      <c r="F4285" t="s">
        <v>1748</v>
      </c>
      <c r="H4285" t="str">
        <f>IF(ISBLANK('Q 5'!I1148),"",IF('Q 5'!I1148="&lt;please select&gt;","",'Q 5'!I1148))</f>
        <v>1</v>
      </c>
    </row>
    <row r="4286" spans="1:8" x14ac:dyDescent="0.3">
      <c r="A4286" t="s">
        <v>1886</v>
      </c>
      <c r="B4286" t="s">
        <v>1887</v>
      </c>
      <c r="C4286">
        <v>6</v>
      </c>
      <c r="D4286" t="s">
        <v>1447</v>
      </c>
      <c r="E4286" t="s">
        <v>1891</v>
      </c>
      <c r="F4286" t="s">
        <v>1748</v>
      </c>
      <c r="H4286" t="str">
        <f>IF(ISBLANK('Q 5'!I1149),"",IF('Q 5'!I1149="&lt;please select&gt;","",'Q 5'!I1149))</f>
        <v>3</v>
      </c>
    </row>
    <row r="4287" spans="1:8" x14ac:dyDescent="0.3">
      <c r="A4287" t="s">
        <v>1886</v>
      </c>
      <c r="B4287" t="s">
        <v>1887</v>
      </c>
      <c r="C4287">
        <v>7</v>
      </c>
      <c r="D4287" t="s">
        <v>1447</v>
      </c>
      <c r="E4287" t="s">
        <v>1891</v>
      </c>
      <c r="F4287" t="s">
        <v>1748</v>
      </c>
      <c r="H4287" t="str">
        <f>IF(ISBLANK('Q 5'!I1150),"",IF('Q 5'!I1150="&lt;please select&gt;","",'Q 5'!I1150))</f>
        <v>1</v>
      </c>
    </row>
    <row r="4288" spans="1:8" x14ac:dyDescent="0.3">
      <c r="A4288" t="s">
        <v>1886</v>
      </c>
      <c r="B4288" t="s">
        <v>1887</v>
      </c>
      <c r="C4288">
        <v>8</v>
      </c>
      <c r="D4288" t="s">
        <v>1447</v>
      </c>
      <c r="E4288" t="s">
        <v>1891</v>
      </c>
      <c r="F4288" t="s">
        <v>1748</v>
      </c>
      <c r="H4288" t="str">
        <f>IF(ISBLANK('Q 5'!I1151),"",IF('Q 5'!I1151="&lt;please select&gt;","",'Q 5'!I1151))</f>
        <v>1</v>
      </c>
    </row>
    <row r="4289" spans="1:8" x14ac:dyDescent="0.3">
      <c r="A4289" t="s">
        <v>1886</v>
      </c>
      <c r="B4289" t="s">
        <v>1887</v>
      </c>
      <c r="C4289">
        <v>9</v>
      </c>
      <c r="D4289" t="s">
        <v>1447</v>
      </c>
      <c r="E4289" t="s">
        <v>1891</v>
      </c>
      <c r="F4289" t="s">
        <v>1748</v>
      </c>
      <c r="H4289" t="str">
        <f>IF(ISBLANK('Q 5'!I1152),"",IF('Q 5'!I1152="&lt;please select&gt;","",'Q 5'!I1152))</f>
        <v>0</v>
      </c>
    </row>
    <row r="4290" spans="1:8" x14ac:dyDescent="0.3">
      <c r="A4290" t="s">
        <v>1886</v>
      </c>
      <c r="B4290" t="s">
        <v>1887</v>
      </c>
      <c r="C4290">
        <v>10</v>
      </c>
      <c r="D4290" t="s">
        <v>1447</v>
      </c>
      <c r="E4290" t="s">
        <v>1891</v>
      </c>
      <c r="F4290" t="s">
        <v>1748</v>
      </c>
      <c r="H4290" t="str">
        <f>IF(ISBLANK('Q 5'!I1153),"",IF('Q 5'!I1153="&lt;please select&gt;","",'Q 5'!I1153))</f>
        <v/>
      </c>
    </row>
    <row r="4291" spans="1:8" x14ac:dyDescent="0.3">
      <c r="A4291" t="s">
        <v>1886</v>
      </c>
      <c r="B4291" t="s">
        <v>1887</v>
      </c>
      <c r="C4291">
        <v>11</v>
      </c>
      <c r="D4291" t="s">
        <v>1447</v>
      </c>
      <c r="E4291" t="s">
        <v>1891</v>
      </c>
      <c r="F4291" t="s">
        <v>1748</v>
      </c>
      <c r="H4291" t="str">
        <f>IF(ISBLANK('Q 5'!I1154),"",IF('Q 5'!I1154="&lt;please select&gt;","",'Q 5'!I1154))</f>
        <v/>
      </c>
    </row>
    <row r="4292" spans="1:8" x14ac:dyDescent="0.3">
      <c r="A4292" t="s">
        <v>1886</v>
      </c>
      <c r="B4292" t="s">
        <v>1887</v>
      </c>
      <c r="C4292">
        <v>12</v>
      </c>
      <c r="D4292" t="s">
        <v>1447</v>
      </c>
      <c r="E4292" t="s">
        <v>1891</v>
      </c>
      <c r="F4292" t="s">
        <v>1748</v>
      </c>
      <c r="H4292" t="str">
        <f>IF(ISBLANK('Q 5'!I1155),"",IF('Q 5'!I1155="&lt;please select&gt;","",'Q 5'!I1155))</f>
        <v/>
      </c>
    </row>
    <row r="4293" spans="1:8" x14ac:dyDescent="0.3">
      <c r="A4293" t="s">
        <v>1886</v>
      </c>
      <c r="B4293" t="s">
        <v>1887</v>
      </c>
      <c r="C4293">
        <v>13</v>
      </c>
      <c r="D4293" t="s">
        <v>1447</v>
      </c>
      <c r="E4293" t="s">
        <v>1891</v>
      </c>
      <c r="F4293" t="s">
        <v>1748</v>
      </c>
      <c r="H4293" t="str">
        <f>IF(ISBLANK('Q 5'!I1156),"",IF('Q 5'!I1156="&lt;please select&gt;","",'Q 5'!I1156))</f>
        <v/>
      </c>
    </row>
    <row r="4294" spans="1:8" x14ac:dyDescent="0.3">
      <c r="A4294" t="s">
        <v>1886</v>
      </c>
      <c r="B4294" t="s">
        <v>1887</v>
      </c>
      <c r="C4294">
        <v>14</v>
      </c>
      <c r="D4294" t="s">
        <v>1447</v>
      </c>
      <c r="E4294" t="s">
        <v>1891</v>
      </c>
      <c r="F4294" t="s">
        <v>1748</v>
      </c>
      <c r="H4294" t="str">
        <f>IF(ISBLANK('Q 5'!I1157),"",IF('Q 5'!I1157="&lt;please select&gt;","",'Q 5'!I1157))</f>
        <v/>
      </c>
    </row>
    <row r="4295" spans="1:8" x14ac:dyDescent="0.3">
      <c r="A4295" t="s">
        <v>1886</v>
      </c>
      <c r="B4295" t="s">
        <v>1887</v>
      </c>
      <c r="C4295">
        <v>15</v>
      </c>
      <c r="D4295" t="s">
        <v>1447</v>
      </c>
      <c r="E4295" t="s">
        <v>1891</v>
      </c>
      <c r="F4295" t="s">
        <v>1748</v>
      </c>
      <c r="H4295" t="str">
        <f>IF(ISBLANK('Q 5'!I1158),"",IF('Q 5'!I1158="&lt;please select&gt;","",'Q 5'!I1158))</f>
        <v/>
      </c>
    </row>
    <row r="4296" spans="1:8" x14ac:dyDescent="0.3">
      <c r="A4296" t="s">
        <v>1886</v>
      </c>
      <c r="B4296" t="s">
        <v>1887</v>
      </c>
      <c r="C4296">
        <v>16</v>
      </c>
      <c r="D4296" t="s">
        <v>1447</v>
      </c>
      <c r="E4296" t="s">
        <v>1891</v>
      </c>
      <c r="F4296" t="s">
        <v>1748</v>
      </c>
      <c r="H4296" t="str">
        <f>IF(ISBLANK('Q 5'!I1159),"",IF('Q 5'!I1159="&lt;please select&gt;","",'Q 5'!I1159))</f>
        <v/>
      </c>
    </row>
    <row r="4297" spans="1:8" x14ac:dyDescent="0.3">
      <c r="A4297" t="s">
        <v>1886</v>
      </c>
      <c r="B4297" t="s">
        <v>1887</v>
      </c>
      <c r="C4297">
        <v>17</v>
      </c>
      <c r="D4297" t="s">
        <v>1447</v>
      </c>
      <c r="E4297" t="s">
        <v>1891</v>
      </c>
      <c r="F4297" t="s">
        <v>1748</v>
      </c>
      <c r="H4297" t="str">
        <f>IF(ISBLANK('Q 5'!I1160),"",IF('Q 5'!I1160="&lt;please select&gt;","",'Q 5'!I1160))</f>
        <v/>
      </c>
    </row>
    <row r="4298" spans="1:8" x14ac:dyDescent="0.3">
      <c r="A4298" t="s">
        <v>1886</v>
      </c>
      <c r="B4298" t="s">
        <v>1887</v>
      </c>
      <c r="C4298">
        <v>18</v>
      </c>
      <c r="D4298" t="s">
        <v>1447</v>
      </c>
      <c r="E4298" t="s">
        <v>1891</v>
      </c>
      <c r="F4298" t="s">
        <v>1748</v>
      </c>
      <c r="H4298" t="str">
        <f>IF(ISBLANK('Q 5'!I1161),"",IF('Q 5'!I1161="&lt;please select&gt;","",'Q 5'!I1161))</f>
        <v/>
      </c>
    </row>
    <row r="4299" spans="1:8" x14ac:dyDescent="0.3">
      <c r="A4299" t="s">
        <v>1886</v>
      </c>
      <c r="B4299" t="s">
        <v>1887</v>
      </c>
      <c r="C4299">
        <v>19</v>
      </c>
      <c r="D4299" t="s">
        <v>1447</v>
      </c>
      <c r="E4299" t="s">
        <v>1891</v>
      </c>
      <c r="F4299" t="s">
        <v>1748</v>
      </c>
      <c r="H4299" t="str">
        <f>IF(ISBLANK('Q 5'!I1162),"",IF('Q 5'!I1162="&lt;please select&gt;","",'Q 5'!I1162))</f>
        <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No</v>
      </c>
    </row>
    <row r="4352" spans="1:11" x14ac:dyDescent="0.3">
      <c r="A4352" t="s">
        <v>1892</v>
      </c>
      <c r="B4352" t="s">
        <v>1894</v>
      </c>
      <c r="C4352">
        <v>1</v>
      </c>
      <c r="D4352" t="s">
        <v>1447</v>
      </c>
      <c r="E4352" t="s">
        <v>1895</v>
      </c>
      <c r="F4352" t="s">
        <v>1737</v>
      </c>
      <c r="K4352" t="str">
        <f>IF(ISBLANK('Q 5'!C1220),"",IF('Q 5'!C1220="&lt;please select&gt;","",'Q 5'!C1220))</f>
        <v/>
      </c>
    </row>
    <row r="4353" spans="1:11" x14ac:dyDescent="0.3">
      <c r="A4353" t="s">
        <v>1892</v>
      </c>
      <c r="B4353" t="s">
        <v>1894</v>
      </c>
      <c r="C4353">
        <v>2</v>
      </c>
      <c r="D4353" t="s">
        <v>1447</v>
      </c>
      <c r="E4353" t="s">
        <v>1895</v>
      </c>
      <c r="F4353" t="s">
        <v>1737</v>
      </c>
      <c r="K4353" t="str">
        <f>IF(ISBLANK('Q 5'!C1221),"",IF('Q 5'!C1221="&lt;please select&gt;","",'Q 5'!C1221))</f>
        <v/>
      </c>
    </row>
    <row r="4354" spans="1:11" x14ac:dyDescent="0.3">
      <c r="A4354" t="s">
        <v>1892</v>
      </c>
      <c r="B4354" t="s">
        <v>1894</v>
      </c>
      <c r="C4354">
        <v>3</v>
      </c>
      <c r="D4354" t="s">
        <v>1447</v>
      </c>
      <c r="E4354" t="s">
        <v>1895</v>
      </c>
      <c r="F4354" t="s">
        <v>1737</v>
      </c>
      <c r="K4354" t="str">
        <f>IF(ISBLANK('Q 5'!C1222),"",IF('Q 5'!C1222="&lt;please select&gt;","",'Q 5'!C1222))</f>
        <v/>
      </c>
    </row>
    <row r="4355" spans="1:11" x14ac:dyDescent="0.3">
      <c r="A4355" t="s">
        <v>1892</v>
      </c>
      <c r="B4355" t="s">
        <v>1894</v>
      </c>
      <c r="C4355">
        <v>4</v>
      </c>
      <c r="D4355" t="s">
        <v>1447</v>
      </c>
      <c r="E4355" t="s">
        <v>1895</v>
      </c>
      <c r="F4355" t="s">
        <v>1737</v>
      </c>
      <c r="K4355" t="str">
        <f>IF(ISBLANK('Q 5'!C1223),"",IF('Q 5'!C1223="&lt;please select&gt;","",'Q 5'!C1223))</f>
        <v/>
      </c>
    </row>
    <row r="4356" spans="1:11" x14ac:dyDescent="0.3">
      <c r="A4356" t="s">
        <v>1892</v>
      </c>
      <c r="B4356" t="s">
        <v>1894</v>
      </c>
      <c r="C4356">
        <v>5</v>
      </c>
      <c r="D4356" t="s">
        <v>1447</v>
      </c>
      <c r="E4356" t="s">
        <v>1895</v>
      </c>
      <c r="F4356" t="s">
        <v>1737</v>
      </c>
      <c r="K4356" t="str">
        <f>IF(ISBLANK('Q 5'!C1224),"",IF('Q 5'!C1224="&lt;please select&gt;","",'Q 5'!C1224))</f>
        <v/>
      </c>
    </row>
    <row r="4357" spans="1:11" x14ac:dyDescent="0.3">
      <c r="A4357" t="s">
        <v>1892</v>
      </c>
      <c r="B4357" t="s">
        <v>1894</v>
      </c>
      <c r="C4357">
        <v>6</v>
      </c>
      <c r="D4357" t="s">
        <v>1447</v>
      </c>
      <c r="E4357" t="s">
        <v>1895</v>
      </c>
      <c r="F4357" t="s">
        <v>1737</v>
      </c>
      <c r="K4357" t="str">
        <f>IF(ISBLANK('Q 5'!C1225),"",IF('Q 5'!C1225="&lt;please select&gt;","",'Q 5'!C1225))</f>
        <v/>
      </c>
    </row>
    <row r="4358" spans="1:11" x14ac:dyDescent="0.3">
      <c r="A4358" t="s">
        <v>1892</v>
      </c>
      <c r="B4358" t="s">
        <v>1894</v>
      </c>
      <c r="C4358">
        <v>7</v>
      </c>
      <c r="D4358" t="s">
        <v>1447</v>
      </c>
      <c r="E4358" t="s">
        <v>1895</v>
      </c>
      <c r="F4358" t="s">
        <v>1737</v>
      </c>
      <c r="K4358" t="str">
        <f>IF(ISBLANK('Q 5'!C1226),"",IF('Q 5'!C1226="&lt;please select&gt;","",'Q 5'!C1226))</f>
        <v/>
      </c>
    </row>
    <row r="4359" spans="1:11" x14ac:dyDescent="0.3">
      <c r="A4359" t="s">
        <v>1892</v>
      </c>
      <c r="B4359" t="s">
        <v>1894</v>
      </c>
      <c r="C4359">
        <v>8</v>
      </c>
      <c r="D4359" t="s">
        <v>1447</v>
      </c>
      <c r="E4359" t="s">
        <v>1895</v>
      </c>
      <c r="F4359" t="s">
        <v>1737</v>
      </c>
      <c r="K4359" t="str">
        <f>IF(ISBLANK('Q 5'!C1227),"",IF('Q 5'!C1227="&lt;please select&gt;","",'Q 5'!C1227))</f>
        <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
      </c>
    </row>
    <row r="4450" spans="1:7" x14ac:dyDescent="0.3">
      <c r="A4450" t="s">
        <v>1892</v>
      </c>
      <c r="B4450" t="s">
        <v>1894</v>
      </c>
      <c r="C4450">
        <v>2</v>
      </c>
      <c r="D4450" t="s">
        <v>1447</v>
      </c>
      <c r="E4450" t="s">
        <v>1896</v>
      </c>
      <c r="F4450" t="s">
        <v>1741</v>
      </c>
      <c r="G4450" t="str">
        <f>IF(ISBLANK('Q 5'!D1221),"",IF('Q 5'!D1221="&lt;please select&gt;","",'Q 5'!D1221))</f>
        <v/>
      </c>
    </row>
    <row r="4451" spans="1:7" x14ac:dyDescent="0.3">
      <c r="A4451" t="s">
        <v>1892</v>
      </c>
      <c r="B4451" t="s">
        <v>1894</v>
      </c>
      <c r="C4451">
        <v>3</v>
      </c>
      <c r="D4451" t="s">
        <v>1447</v>
      </c>
      <c r="E4451" t="s">
        <v>1896</v>
      </c>
      <c r="F4451" t="s">
        <v>1741</v>
      </c>
      <c r="G4451" t="str">
        <f>IF(ISBLANK('Q 5'!D1222),"",IF('Q 5'!D1222="&lt;please select&gt;","",'Q 5'!D1222))</f>
        <v/>
      </c>
    </row>
    <row r="4452" spans="1:7" x14ac:dyDescent="0.3">
      <c r="A4452" t="s">
        <v>1892</v>
      </c>
      <c r="B4452" t="s">
        <v>1894</v>
      </c>
      <c r="C4452">
        <v>4</v>
      </c>
      <c r="D4452" t="s">
        <v>1447</v>
      </c>
      <c r="E4452" t="s">
        <v>1896</v>
      </c>
      <c r="F4452" t="s">
        <v>1741</v>
      </c>
      <c r="G4452" t="str">
        <f>IF(ISBLANK('Q 5'!D1223),"",IF('Q 5'!D1223="&lt;please select&gt;","",'Q 5'!D1223))</f>
        <v/>
      </c>
    </row>
    <row r="4453" spans="1:7" x14ac:dyDescent="0.3">
      <c r="A4453" t="s">
        <v>1892</v>
      </c>
      <c r="B4453" t="s">
        <v>1894</v>
      </c>
      <c r="C4453">
        <v>5</v>
      </c>
      <c r="D4453" t="s">
        <v>1447</v>
      </c>
      <c r="E4453" t="s">
        <v>1896</v>
      </c>
      <c r="F4453" t="s">
        <v>1741</v>
      </c>
      <c r="G4453" t="str">
        <f>IF(ISBLANK('Q 5'!D1224),"",IF('Q 5'!D1224="&lt;please select&gt;","",'Q 5'!D1224))</f>
        <v/>
      </c>
    </row>
    <row r="4454" spans="1:7" x14ac:dyDescent="0.3">
      <c r="A4454" t="s">
        <v>1892</v>
      </c>
      <c r="B4454" t="s">
        <v>1894</v>
      </c>
      <c r="C4454">
        <v>6</v>
      </c>
      <c r="D4454" t="s">
        <v>1447</v>
      </c>
      <c r="E4454" t="s">
        <v>1896</v>
      </c>
      <c r="F4454" t="s">
        <v>1741</v>
      </c>
      <c r="G4454" t="str">
        <f>IF(ISBLANK('Q 5'!D1225),"",IF('Q 5'!D1225="&lt;please select&gt;","",'Q 5'!D1225))</f>
        <v/>
      </c>
    </row>
    <row r="4455" spans="1:7" x14ac:dyDescent="0.3">
      <c r="A4455" t="s">
        <v>1892</v>
      </c>
      <c r="B4455" t="s">
        <v>1894</v>
      </c>
      <c r="C4455">
        <v>7</v>
      </c>
      <c r="D4455" t="s">
        <v>1447</v>
      </c>
      <c r="E4455" t="s">
        <v>1896</v>
      </c>
      <c r="F4455" t="s">
        <v>1741</v>
      </c>
      <c r="G4455" t="str">
        <f>IF(ISBLANK('Q 5'!D1226),"",IF('Q 5'!D1226="&lt;please select&gt;","",'Q 5'!D1226))</f>
        <v/>
      </c>
    </row>
    <row r="4456" spans="1:7" x14ac:dyDescent="0.3">
      <c r="A4456" t="s">
        <v>1892</v>
      </c>
      <c r="B4456" t="s">
        <v>1894</v>
      </c>
      <c r="C4456">
        <v>8</v>
      </c>
      <c r="D4456" t="s">
        <v>1447</v>
      </c>
      <c r="E4456" t="s">
        <v>1896</v>
      </c>
      <c r="F4456" t="s">
        <v>1741</v>
      </c>
      <c r="G4456" t="str">
        <f>IF(ISBLANK('Q 5'!D1227),"",IF('Q 5'!D1227="&lt;please select&gt;","",'Q 5'!D1227))</f>
        <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
      </c>
    </row>
    <row r="4547" spans="1:7" x14ac:dyDescent="0.3">
      <c r="A4547" t="s">
        <v>1892</v>
      </c>
      <c r="B4547" t="s">
        <v>1894</v>
      </c>
      <c r="C4547">
        <v>2</v>
      </c>
      <c r="D4547" t="s">
        <v>1447</v>
      </c>
      <c r="E4547" t="s">
        <v>1897</v>
      </c>
      <c r="F4547" t="s">
        <v>1741</v>
      </c>
      <c r="G4547" t="str">
        <f>IF(ISBLANK('Q 5'!E1221),"",IF('Q 5'!E1221="&lt;please select&gt;","",'Q 5'!E1221))</f>
        <v/>
      </c>
    </row>
    <row r="4548" spans="1:7" x14ac:dyDescent="0.3">
      <c r="A4548" t="s">
        <v>1892</v>
      </c>
      <c r="B4548" t="s">
        <v>1894</v>
      </c>
      <c r="C4548">
        <v>3</v>
      </c>
      <c r="D4548" t="s">
        <v>1447</v>
      </c>
      <c r="E4548" t="s">
        <v>1897</v>
      </c>
      <c r="F4548" t="s">
        <v>1741</v>
      </c>
      <c r="G4548" t="str">
        <f>IF(ISBLANK('Q 5'!E1222),"",IF('Q 5'!E1222="&lt;please select&gt;","",'Q 5'!E1222))</f>
        <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
      </c>
    </row>
    <row r="4552" spans="1:7" x14ac:dyDescent="0.3">
      <c r="A4552" t="s">
        <v>1892</v>
      </c>
      <c r="B4552" t="s">
        <v>1894</v>
      </c>
      <c r="C4552">
        <v>7</v>
      </c>
      <c r="D4552" t="s">
        <v>1447</v>
      </c>
      <c r="E4552" t="s">
        <v>1897</v>
      </c>
      <c r="F4552" t="s">
        <v>1741</v>
      </c>
      <c r="G4552" t="str">
        <f>IF(ISBLANK('Q 5'!E1226),"",IF('Q 5'!E1226="&lt;please select&gt;","",'Q 5'!E1226))</f>
        <v/>
      </c>
    </row>
    <row r="4553" spans="1:7" x14ac:dyDescent="0.3">
      <c r="A4553" t="s">
        <v>1892</v>
      </c>
      <c r="B4553" t="s">
        <v>1894</v>
      </c>
      <c r="C4553">
        <v>8</v>
      </c>
      <c r="D4553" t="s">
        <v>1447</v>
      </c>
      <c r="E4553" t="s">
        <v>1897</v>
      </c>
      <c r="F4553" t="s">
        <v>1741</v>
      </c>
      <c r="G4553" t="str">
        <f>IF(ISBLANK('Q 5'!E1227),"",IF('Q 5'!E1227="&lt;please select&gt;","",'Q 5'!E1227))</f>
        <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
      </c>
    </row>
    <row r="4644" spans="1:9" x14ac:dyDescent="0.3">
      <c r="A4644" t="s">
        <v>1892</v>
      </c>
      <c r="B4644" t="s">
        <v>1894</v>
      </c>
      <c r="C4644">
        <v>2</v>
      </c>
      <c r="D4644" t="s">
        <v>1447</v>
      </c>
      <c r="E4644" t="s">
        <v>1898</v>
      </c>
      <c r="F4644" t="s">
        <v>1806</v>
      </c>
      <c r="I4644" t="str">
        <f>IF(ISBLANK('Q 5'!F1221),"",IF('Q 5'!F1221="&lt;please select&gt;","",'Q 5'!F1221))</f>
        <v/>
      </c>
    </row>
    <row r="4645" spans="1:9" x14ac:dyDescent="0.3">
      <c r="A4645" t="s">
        <v>1892</v>
      </c>
      <c r="B4645" t="s">
        <v>1894</v>
      </c>
      <c r="C4645">
        <v>3</v>
      </c>
      <c r="D4645" t="s">
        <v>1447</v>
      </c>
      <c r="E4645" t="s">
        <v>1898</v>
      </c>
      <c r="F4645" t="s">
        <v>1806</v>
      </c>
      <c r="I4645" t="str">
        <f>IF(ISBLANK('Q 5'!F1222),"",IF('Q 5'!F1222="&lt;please select&gt;","",'Q 5'!F1222))</f>
        <v/>
      </c>
    </row>
    <row r="4646" spans="1:9" x14ac:dyDescent="0.3">
      <c r="A4646" t="s">
        <v>1892</v>
      </c>
      <c r="B4646" t="s">
        <v>1894</v>
      </c>
      <c r="C4646">
        <v>4</v>
      </c>
      <c r="D4646" t="s">
        <v>1447</v>
      </c>
      <c r="E4646" t="s">
        <v>1898</v>
      </c>
      <c r="F4646" t="s">
        <v>1806</v>
      </c>
      <c r="I4646" t="str">
        <f>IF(ISBLANK('Q 5'!F1223),"",IF('Q 5'!F1223="&lt;please select&gt;","",'Q 5'!F1223))</f>
        <v/>
      </c>
    </row>
    <row r="4647" spans="1:9" x14ac:dyDescent="0.3">
      <c r="A4647" t="s">
        <v>1892</v>
      </c>
      <c r="B4647" t="s">
        <v>1894</v>
      </c>
      <c r="C4647">
        <v>5</v>
      </c>
      <c r="D4647" t="s">
        <v>1447</v>
      </c>
      <c r="E4647" t="s">
        <v>1898</v>
      </c>
      <c r="F4647" t="s">
        <v>1806</v>
      </c>
      <c r="I4647" t="str">
        <f>IF(ISBLANK('Q 5'!F1224),"",IF('Q 5'!F1224="&lt;please select&gt;","",'Q 5'!F1224))</f>
        <v/>
      </c>
    </row>
    <row r="4648" spans="1:9" x14ac:dyDescent="0.3">
      <c r="A4648" t="s">
        <v>1892</v>
      </c>
      <c r="B4648" t="s">
        <v>1894</v>
      </c>
      <c r="C4648">
        <v>6</v>
      </c>
      <c r="D4648" t="s">
        <v>1447</v>
      </c>
      <c r="E4648" t="s">
        <v>1898</v>
      </c>
      <c r="F4648" t="s">
        <v>1806</v>
      </c>
      <c r="I4648" t="str">
        <f>IF(ISBLANK('Q 5'!F1225),"",IF('Q 5'!F1225="&lt;please select&gt;","",'Q 5'!F1225))</f>
        <v/>
      </c>
    </row>
    <row r="4649" spans="1:9" x14ac:dyDescent="0.3">
      <c r="A4649" t="s">
        <v>1892</v>
      </c>
      <c r="B4649" t="s">
        <v>1894</v>
      </c>
      <c r="C4649">
        <v>7</v>
      </c>
      <c r="D4649" t="s">
        <v>1447</v>
      </c>
      <c r="E4649" t="s">
        <v>1898</v>
      </c>
      <c r="F4649" t="s">
        <v>1806</v>
      </c>
      <c r="I4649" t="str">
        <f>IF(ISBLANK('Q 5'!F1226),"",IF('Q 5'!F1226="&lt;please select&gt;","",'Q 5'!F1226))</f>
        <v/>
      </c>
    </row>
    <row r="4650" spans="1:9" x14ac:dyDescent="0.3">
      <c r="A4650" t="s">
        <v>1892</v>
      </c>
      <c r="B4650" t="s">
        <v>1894</v>
      </c>
      <c r="C4650">
        <v>8</v>
      </c>
      <c r="D4650" t="s">
        <v>1447</v>
      </c>
      <c r="E4650" t="s">
        <v>1898</v>
      </c>
      <c r="F4650" t="s">
        <v>1806</v>
      </c>
      <c r="I4650" t="str">
        <f>IF(ISBLANK('Q 5'!F1227),"",IF('Q 5'!F1227="&lt;please select&gt;","",'Q 5'!F1227))</f>
        <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
      </c>
    </row>
    <row r="4741" spans="1:9" x14ac:dyDescent="0.3">
      <c r="A4741" t="s">
        <v>1892</v>
      </c>
      <c r="B4741" t="s">
        <v>1894</v>
      </c>
      <c r="C4741">
        <v>2</v>
      </c>
      <c r="D4741" t="s">
        <v>1447</v>
      </c>
      <c r="E4741" t="s">
        <v>1899</v>
      </c>
      <c r="F4741" t="s">
        <v>1806</v>
      </c>
      <c r="I4741" t="str">
        <f>IF(ISBLANK('Q 5'!G1221),"",IF('Q 5'!G1221="&lt;please select&gt;","",'Q 5'!G1221))</f>
        <v/>
      </c>
    </row>
    <row r="4742" spans="1:9" x14ac:dyDescent="0.3">
      <c r="A4742" t="s">
        <v>1892</v>
      </c>
      <c r="B4742" t="s">
        <v>1894</v>
      </c>
      <c r="C4742">
        <v>3</v>
      </c>
      <c r="D4742" t="s">
        <v>1447</v>
      </c>
      <c r="E4742" t="s">
        <v>1899</v>
      </c>
      <c r="F4742" t="s">
        <v>1806</v>
      </c>
      <c r="I4742" t="str">
        <f>IF(ISBLANK('Q 5'!G1222),"",IF('Q 5'!G1222="&lt;please select&gt;","",'Q 5'!G1222))</f>
        <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
      </c>
    </row>
    <row r="4746" spans="1:9" x14ac:dyDescent="0.3">
      <c r="A4746" t="s">
        <v>1892</v>
      </c>
      <c r="B4746" t="s">
        <v>1894</v>
      </c>
      <c r="C4746">
        <v>7</v>
      </c>
      <c r="D4746" t="s">
        <v>1447</v>
      </c>
      <c r="E4746" t="s">
        <v>1899</v>
      </c>
      <c r="F4746" t="s">
        <v>1806</v>
      </c>
      <c r="I4746" t="str">
        <f>IF(ISBLANK('Q 5'!G1226),"",IF('Q 5'!G1226="&lt;please select&gt;","",'Q 5'!G1226))</f>
        <v/>
      </c>
    </row>
    <row r="4747" spans="1:9" x14ac:dyDescent="0.3">
      <c r="A4747" t="s">
        <v>1892</v>
      </c>
      <c r="B4747" t="s">
        <v>1894</v>
      </c>
      <c r="C4747">
        <v>8</v>
      </c>
      <c r="D4747" t="s">
        <v>1447</v>
      </c>
      <c r="E4747" t="s">
        <v>1899</v>
      </c>
      <c r="F4747" t="s">
        <v>1806</v>
      </c>
      <c r="I4747" t="str">
        <f>IF(ISBLANK('Q 5'!G1227),"",IF('Q 5'!G1227="&lt;please select&gt;","",'Q 5'!G1227))</f>
        <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
      </c>
    </row>
    <row r="4935" spans="1:11" x14ac:dyDescent="0.3">
      <c r="A4935" t="s">
        <v>1892</v>
      </c>
      <c r="B4935" t="s">
        <v>1894</v>
      </c>
      <c r="C4935">
        <v>2</v>
      </c>
      <c r="D4935" t="s">
        <v>1447</v>
      </c>
      <c r="E4935" t="s">
        <v>1901</v>
      </c>
      <c r="F4935" t="s">
        <v>1741</v>
      </c>
      <c r="G4935" t="str">
        <f>IF(ISBLANK('Q 5'!I1221),"",IF('Q 5'!I1221="&lt;please select&gt;","",'Q 5'!I1221))</f>
        <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Yes</v>
      </c>
    </row>
    <row r="5032" spans="1:11" x14ac:dyDescent="0.3">
      <c r="A5032" t="s">
        <v>1902</v>
      </c>
      <c r="B5032" t="s">
        <v>1904</v>
      </c>
      <c r="C5032">
        <v>1</v>
      </c>
      <c r="D5032" t="s">
        <v>1447</v>
      </c>
      <c r="E5032" t="s">
        <v>1905</v>
      </c>
      <c r="F5032" t="s">
        <v>1741</v>
      </c>
      <c r="G5032" t="str">
        <f>IF(ISBLANK('Q 5'!C1327),"",IF('Q 5'!C1327="&lt;please select&gt;","",'Q 5'!C1327))</f>
        <v>CZ-117</v>
      </c>
    </row>
    <row r="5033" spans="1:11" x14ac:dyDescent="0.3">
      <c r="A5033" t="s">
        <v>1902</v>
      </c>
      <c r="B5033" t="s">
        <v>1904</v>
      </c>
      <c r="C5033">
        <v>2</v>
      </c>
      <c r="D5033" t="s">
        <v>1447</v>
      </c>
      <c r="E5033" t="s">
        <v>1905</v>
      </c>
      <c r="F5033" t="s">
        <v>1741</v>
      </c>
      <c r="G5033" t="str">
        <f>IF(ISBLANK('Q 5'!C1328),"",IF('Q 5'!C1328="&lt;please select&gt;","",'Q 5'!C1328))</f>
        <v>CZ-36</v>
      </c>
    </row>
    <row r="5034" spans="1:11" x14ac:dyDescent="0.3">
      <c r="A5034" t="s">
        <v>1902</v>
      </c>
      <c r="B5034" t="s">
        <v>1904</v>
      </c>
      <c r="C5034">
        <v>3</v>
      </c>
      <c r="D5034" t="s">
        <v>1447</v>
      </c>
      <c r="E5034" t="s">
        <v>1905</v>
      </c>
      <c r="F5034" t="s">
        <v>1741</v>
      </c>
      <c r="G5034" t="str">
        <f>IF(ISBLANK('Q 5'!C1329),"",IF('Q 5'!C1329="&lt;please select&gt;","",'Q 5'!C1329))</f>
        <v>CZ-65</v>
      </c>
    </row>
    <row r="5035" spans="1:11" x14ac:dyDescent="0.3">
      <c r="A5035" t="s">
        <v>1902</v>
      </c>
      <c r="B5035" t="s">
        <v>1904</v>
      </c>
      <c r="C5035">
        <v>4</v>
      </c>
      <c r="D5035" t="s">
        <v>1447</v>
      </c>
      <c r="E5035" t="s">
        <v>1905</v>
      </c>
      <c r="F5035" t="s">
        <v>1741</v>
      </c>
      <c r="G5035" t="str">
        <f>IF(ISBLANK('Q 5'!C1330),"",IF('Q 5'!C1330="&lt;please select&gt;","",'Q 5'!C1330))</f>
        <v>CZ-45</v>
      </c>
    </row>
    <row r="5036" spans="1:11" x14ac:dyDescent="0.3">
      <c r="A5036" t="s">
        <v>1902</v>
      </c>
      <c r="B5036" t="s">
        <v>1904</v>
      </c>
      <c r="C5036">
        <v>5</v>
      </c>
      <c r="D5036" t="s">
        <v>1447</v>
      </c>
      <c r="E5036" t="s">
        <v>1905</v>
      </c>
      <c r="F5036" t="s">
        <v>1741</v>
      </c>
      <c r="G5036" t="str">
        <f>IF(ISBLANK('Q 5'!C1331),"",IF('Q 5'!C1331="&lt;please select&gt;","",'Q 5'!C1331))</f>
        <v>CZ-151</v>
      </c>
    </row>
    <row r="5037" spans="1:11" x14ac:dyDescent="0.3">
      <c r="A5037" t="s">
        <v>1902</v>
      </c>
      <c r="B5037" t="s">
        <v>1904</v>
      </c>
      <c r="C5037">
        <v>6</v>
      </c>
      <c r="D5037" t="s">
        <v>1447</v>
      </c>
      <c r="E5037" t="s">
        <v>1905</v>
      </c>
      <c r="F5037" t="s">
        <v>1741</v>
      </c>
      <c r="G5037" t="str">
        <f>IF(ISBLANK('Q 5'!C1332),"",IF('Q 5'!C1332="&lt;please select&gt;","",'Q 5'!C1332))</f>
        <v>CZ-118</v>
      </c>
    </row>
    <row r="5038" spans="1:11" x14ac:dyDescent="0.3">
      <c r="A5038" t="s">
        <v>1902</v>
      </c>
      <c r="B5038" t="s">
        <v>1904</v>
      </c>
      <c r="C5038">
        <v>7</v>
      </c>
      <c r="D5038" t="s">
        <v>1447</v>
      </c>
      <c r="E5038" t="s">
        <v>1905</v>
      </c>
      <c r="F5038" t="s">
        <v>1741</v>
      </c>
      <c r="G5038" t="str">
        <f>IF(ISBLANK('Q 5'!C1333),"",IF('Q 5'!C1333="&lt;please select&gt;","",'Q 5'!C1333))</f>
        <v>CZ-120</v>
      </c>
    </row>
    <row r="5039" spans="1:11" x14ac:dyDescent="0.3">
      <c r="A5039" t="s">
        <v>1902</v>
      </c>
      <c r="B5039" t="s">
        <v>1904</v>
      </c>
      <c r="C5039">
        <v>8</v>
      </c>
      <c r="D5039" t="s">
        <v>1447</v>
      </c>
      <c r="E5039" t="s">
        <v>1905</v>
      </c>
      <c r="F5039" t="s">
        <v>1741</v>
      </c>
      <c r="G5039" t="str">
        <f>IF(ISBLANK('Q 5'!C1334),"",IF('Q 5'!C1334="&lt;please select&gt;","",'Q 5'!C1334))</f>
        <v>CZ-121</v>
      </c>
    </row>
    <row r="5040" spans="1:11" x14ac:dyDescent="0.3">
      <c r="A5040" t="s">
        <v>1902</v>
      </c>
      <c r="B5040" t="s">
        <v>1904</v>
      </c>
      <c r="C5040">
        <v>9</v>
      </c>
      <c r="D5040" t="s">
        <v>1447</v>
      </c>
      <c r="E5040" t="s">
        <v>1905</v>
      </c>
      <c r="F5040" t="s">
        <v>1741</v>
      </c>
      <c r="G5040" t="str">
        <f>IF(ISBLANK('Q 5'!C1335),"",IF('Q 5'!C1335="&lt;please select&gt;","",'Q 5'!C1335))</f>
        <v>CZ-122</v>
      </c>
    </row>
    <row r="5041" spans="1:7" x14ac:dyDescent="0.3">
      <c r="A5041" t="s">
        <v>1902</v>
      </c>
      <c r="B5041" t="s">
        <v>1904</v>
      </c>
      <c r="C5041">
        <v>10</v>
      </c>
      <c r="D5041" t="s">
        <v>1447</v>
      </c>
      <c r="E5041" t="s">
        <v>1905</v>
      </c>
      <c r="F5041" t="s">
        <v>1741</v>
      </c>
      <c r="G5041" t="str">
        <f>IF(ISBLANK('Q 5'!C1336),"",IF('Q 5'!C1336="&lt;please select&gt;","",'Q 5'!C1336))</f>
        <v>CZ-123</v>
      </c>
    </row>
    <row r="5042" spans="1:7" x14ac:dyDescent="0.3">
      <c r="A5042" t="s">
        <v>1902</v>
      </c>
      <c r="B5042" t="s">
        <v>1904</v>
      </c>
      <c r="C5042">
        <v>11</v>
      </c>
      <c r="D5042" t="s">
        <v>1447</v>
      </c>
      <c r="E5042" t="s">
        <v>1905</v>
      </c>
      <c r="F5042" t="s">
        <v>1741</v>
      </c>
      <c r="G5042" t="str">
        <f>IF(ISBLANK('Q 5'!C1337),"",IF('Q 5'!C1337="&lt;please select&gt;","",'Q 5'!C1337))</f>
        <v>CZ-124</v>
      </c>
    </row>
    <row r="5043" spans="1:7" x14ac:dyDescent="0.3">
      <c r="A5043" t="s">
        <v>1902</v>
      </c>
      <c r="B5043" t="s">
        <v>1904</v>
      </c>
      <c r="C5043">
        <v>12</v>
      </c>
      <c r="D5043" t="s">
        <v>1447</v>
      </c>
      <c r="E5043" t="s">
        <v>1905</v>
      </c>
      <c r="F5043" t="s">
        <v>1741</v>
      </c>
      <c r="G5043" t="str">
        <f>IF(ISBLANK('Q 5'!C1338),"",IF('Q 5'!C1338="&lt;please select&gt;","",'Q 5'!C1338))</f>
        <v>CZ-125</v>
      </c>
    </row>
    <row r="5044" spans="1:7" x14ac:dyDescent="0.3">
      <c r="A5044" t="s">
        <v>1902</v>
      </c>
      <c r="B5044" t="s">
        <v>1904</v>
      </c>
      <c r="C5044">
        <v>13</v>
      </c>
      <c r="D5044" t="s">
        <v>1447</v>
      </c>
      <c r="E5044" t="s">
        <v>1905</v>
      </c>
      <c r="F5044" t="s">
        <v>1741</v>
      </c>
      <c r="G5044" t="str">
        <f>IF(ISBLANK('Q 5'!C1339),"",IF('Q 5'!C1339="&lt;please select&gt;","",'Q 5'!C1339))</f>
        <v>CZ-128</v>
      </c>
    </row>
    <row r="5045" spans="1:7" x14ac:dyDescent="0.3">
      <c r="A5045" t="s">
        <v>1902</v>
      </c>
      <c r="B5045" t="s">
        <v>1904</v>
      </c>
      <c r="C5045">
        <v>14</v>
      </c>
      <c r="D5045" t="s">
        <v>1447</v>
      </c>
      <c r="E5045" t="s">
        <v>1905</v>
      </c>
      <c r="F5045" t="s">
        <v>1741</v>
      </c>
      <c r="G5045" t="str">
        <f>IF(ISBLANK('Q 5'!C1340),"",IF('Q 5'!C1340="&lt;please select&gt;","",'Q 5'!C1340))</f>
        <v>CZ-129</v>
      </c>
    </row>
    <row r="5046" spans="1:7" x14ac:dyDescent="0.3">
      <c r="A5046" t="s">
        <v>1902</v>
      </c>
      <c r="B5046" t="s">
        <v>1904</v>
      </c>
      <c r="C5046">
        <v>15</v>
      </c>
      <c r="D5046" t="s">
        <v>1447</v>
      </c>
      <c r="E5046" t="s">
        <v>1905</v>
      </c>
      <c r="F5046" t="s">
        <v>1741</v>
      </c>
      <c r="G5046" t="str">
        <f>IF(ISBLANK('Q 5'!C1341),"",IF('Q 5'!C1341="&lt;please select&gt;","",'Q 5'!C1341))</f>
        <v>CZ-126</v>
      </c>
    </row>
    <row r="5047" spans="1:7" x14ac:dyDescent="0.3">
      <c r="A5047" t="s">
        <v>1902</v>
      </c>
      <c r="B5047" t="s">
        <v>1904</v>
      </c>
      <c r="C5047">
        <v>16</v>
      </c>
      <c r="D5047" t="s">
        <v>1447</v>
      </c>
      <c r="E5047" t="s">
        <v>1905</v>
      </c>
      <c r="F5047" t="s">
        <v>1741</v>
      </c>
      <c r="G5047" t="str">
        <f>IF(ISBLANK('Q 5'!C1342),"",IF('Q 5'!C1342="&lt;please select&gt;","",'Q 5'!C1342))</f>
        <v>CZ-157</v>
      </c>
    </row>
    <row r="5048" spans="1:7" x14ac:dyDescent="0.3">
      <c r="A5048" t="s">
        <v>1902</v>
      </c>
      <c r="B5048" t="s">
        <v>1904</v>
      </c>
      <c r="C5048">
        <v>17</v>
      </c>
      <c r="D5048" t="s">
        <v>1447</v>
      </c>
      <c r="E5048" t="s">
        <v>1905</v>
      </c>
      <c r="F5048" t="s">
        <v>1741</v>
      </c>
      <c r="G5048" t="str">
        <f>IF(ISBLANK('Q 5'!C1343),"",IF('Q 5'!C1343="&lt;please select&gt;","",'Q 5'!C1343))</f>
        <v>CZ-245</v>
      </c>
    </row>
    <row r="5049" spans="1:7" x14ac:dyDescent="0.3">
      <c r="A5049" t="s">
        <v>1902</v>
      </c>
      <c r="B5049" t="s">
        <v>1904</v>
      </c>
      <c r="C5049">
        <v>18</v>
      </c>
      <c r="D5049" t="s">
        <v>1447</v>
      </c>
      <c r="E5049" t="s">
        <v>1905</v>
      </c>
      <c r="F5049" t="s">
        <v>1741</v>
      </c>
      <c r="G5049" t="str">
        <f>IF(ISBLANK('Q 5'!C1344),"",IF('Q 5'!C1344="&lt;please select&gt;","",'Q 5'!C1344))</f>
        <v>CZ-119</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
      </c>
    </row>
    <row r="5083" spans="1:7" x14ac:dyDescent="0.3">
      <c r="A5083" t="s">
        <v>1902</v>
      </c>
      <c r="B5083" t="s">
        <v>1904</v>
      </c>
      <c r="C5083">
        <v>2</v>
      </c>
      <c r="D5083" t="s">
        <v>1447</v>
      </c>
      <c r="E5083" t="s">
        <v>1906</v>
      </c>
      <c r="F5083" t="s">
        <v>1741</v>
      </c>
      <c r="G5083" t="str">
        <f>IF(ISBLANK('Q 5'!E1328),"",IF('Q 5'!E1328="&lt;please select&gt;","",'Q 5'!E1328))</f>
        <v/>
      </c>
    </row>
    <row r="5084" spans="1:7" x14ac:dyDescent="0.3">
      <c r="A5084" t="s">
        <v>1902</v>
      </c>
      <c r="B5084" t="s">
        <v>1904</v>
      </c>
      <c r="C5084">
        <v>3</v>
      </c>
      <c r="D5084" t="s">
        <v>1447</v>
      </c>
      <c r="E5084" t="s">
        <v>1906</v>
      </c>
      <c r="F5084" t="s">
        <v>1741</v>
      </c>
      <c r="G5084" t="str">
        <f>IF(ISBLANK('Q 5'!E1329),"",IF('Q 5'!E1329="&lt;please select&gt;","",'Q 5'!E1329))</f>
        <v/>
      </c>
    </row>
    <row r="5085" spans="1:7" x14ac:dyDescent="0.3">
      <c r="A5085" t="s">
        <v>1902</v>
      </c>
      <c r="B5085" t="s">
        <v>1904</v>
      </c>
      <c r="C5085">
        <v>4</v>
      </c>
      <c r="D5085" t="s">
        <v>1447</v>
      </c>
      <c r="E5085" t="s">
        <v>1906</v>
      </c>
      <c r="F5085" t="s">
        <v>1741</v>
      </c>
      <c r="G5085" t="str">
        <f>IF(ISBLANK('Q 5'!E1330),"",IF('Q 5'!E1330="&lt;please select&gt;","",'Q 5'!E1330))</f>
        <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CZ-106</v>
      </c>
    </row>
    <row r="5101" spans="1:7" x14ac:dyDescent="0.3">
      <c r="A5101" t="s">
        <v>1902</v>
      </c>
      <c r="B5101" t="s">
        <v>1904</v>
      </c>
      <c r="C5101">
        <v>20</v>
      </c>
      <c r="D5101" t="s">
        <v>1447</v>
      </c>
      <c r="E5101" t="s">
        <v>1906</v>
      </c>
      <c r="F5101" t="s">
        <v>1741</v>
      </c>
      <c r="G5101" t="str">
        <f>IF(ISBLANK('Q 5'!E1346),"",IF('Q 5'!E1346="&lt;please select&gt;","",'Q 5'!E1346))</f>
        <v>CZ-107</v>
      </c>
    </row>
    <row r="5102" spans="1:7" x14ac:dyDescent="0.3">
      <c r="A5102" t="s">
        <v>1902</v>
      </c>
      <c r="B5102" t="s">
        <v>1904</v>
      </c>
      <c r="C5102">
        <v>21</v>
      </c>
      <c r="D5102" t="s">
        <v>1447</v>
      </c>
      <c r="E5102" t="s">
        <v>1906</v>
      </c>
      <c r="F5102" t="s">
        <v>1741</v>
      </c>
      <c r="G5102" t="str">
        <f>IF(ISBLANK('Q 5'!E1347),"",IF('Q 5'!E1347="&lt;please select&gt;","",'Q 5'!E1347))</f>
        <v>CZ-201865</v>
      </c>
    </row>
    <row r="5103" spans="1:7" x14ac:dyDescent="0.3">
      <c r="A5103" t="s">
        <v>1902</v>
      </c>
      <c r="B5103" t="s">
        <v>1904</v>
      </c>
      <c r="C5103">
        <v>22</v>
      </c>
      <c r="D5103" t="s">
        <v>1447</v>
      </c>
      <c r="E5103" t="s">
        <v>1906</v>
      </c>
      <c r="F5103" t="s">
        <v>1741</v>
      </c>
      <c r="G5103" t="str">
        <f>IF(ISBLANK('Q 5'!E1348),"",IF('Q 5'!E1348="&lt;please select&gt;","",'Q 5'!E1348))</f>
        <v>CZ-22</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2237282.95325926</v>
      </c>
    </row>
    <row r="5133" spans="1:9" x14ac:dyDescent="0.3">
      <c r="A5133" t="s">
        <v>1902</v>
      </c>
      <c r="B5133" t="s">
        <v>1904</v>
      </c>
      <c r="C5133">
        <v>2</v>
      </c>
      <c r="D5133" t="s">
        <v>1447</v>
      </c>
      <c r="E5133" t="s">
        <v>1907</v>
      </c>
      <c r="F5133" t="s">
        <v>1806</v>
      </c>
      <c r="I5133" s="165" t="str">
        <f>IF(ISBLANK('Q 5'!G1328),"",IF('Q 5'!G1328="&lt;please select&gt;","",'Q 5'!G1328))</f>
        <v>1691751.81037217</v>
      </c>
    </row>
    <row r="5134" spans="1:9" x14ac:dyDescent="0.3">
      <c r="A5134" t="s">
        <v>1902</v>
      </c>
      <c r="B5134" t="s">
        <v>1904</v>
      </c>
      <c r="C5134">
        <v>3</v>
      </c>
      <c r="D5134" t="s">
        <v>1447</v>
      </c>
      <c r="E5134" t="s">
        <v>1907</v>
      </c>
      <c r="F5134" t="s">
        <v>1806</v>
      </c>
      <c r="I5134" s="165" t="str">
        <f>IF(ISBLANK('Q 5'!G1329),"",IF('Q 5'!G1329="&lt;please select&gt;","",'Q 5'!G1329))</f>
        <v>734152.49607816</v>
      </c>
    </row>
    <row r="5135" spans="1:9" x14ac:dyDescent="0.3">
      <c r="A5135" t="s">
        <v>1902</v>
      </c>
      <c r="B5135" t="s">
        <v>1904</v>
      </c>
      <c r="C5135">
        <v>4</v>
      </c>
      <c r="D5135" t="s">
        <v>1447</v>
      </c>
      <c r="E5135" t="s">
        <v>1907</v>
      </c>
      <c r="F5135" t="s">
        <v>1806</v>
      </c>
      <c r="I5135" s="165" t="str">
        <f>IF(ISBLANK('Q 5'!G1330),"",IF('Q 5'!G1330="&lt;please select&gt;","",'Q 5'!G1330))</f>
        <v>1563087.1125796</v>
      </c>
    </row>
    <row r="5136" spans="1:9" x14ac:dyDescent="0.3">
      <c r="A5136" t="s">
        <v>1902</v>
      </c>
      <c r="B5136" t="s">
        <v>1904</v>
      </c>
      <c r="C5136">
        <v>5</v>
      </c>
      <c r="D5136" t="s">
        <v>1447</v>
      </c>
      <c r="E5136" t="s">
        <v>1907</v>
      </c>
      <c r="F5136" t="s">
        <v>1806</v>
      </c>
      <c r="I5136" s="165" t="str">
        <f>IF(ISBLANK('Q 5'!G1331),"",IF('Q 5'!G1331="&lt;please select&gt;","",'Q 5'!G1331))</f>
        <v>474975.799460737</v>
      </c>
    </row>
    <row r="5137" spans="1:9" x14ac:dyDescent="0.3">
      <c r="A5137" t="s">
        <v>1902</v>
      </c>
      <c r="B5137" t="s">
        <v>1904</v>
      </c>
      <c r="C5137">
        <v>6</v>
      </c>
      <c r="D5137" t="s">
        <v>1447</v>
      </c>
      <c r="E5137" t="s">
        <v>1907</v>
      </c>
      <c r="F5137" t="s">
        <v>1806</v>
      </c>
      <c r="I5137" s="165" t="str">
        <f>IF(ISBLANK('Q 5'!G1332),"",IF('Q 5'!G1332="&lt;please select&gt;","",'Q 5'!G1332))</f>
        <v>1165575.79974361</v>
      </c>
    </row>
    <row r="5138" spans="1:9" x14ac:dyDescent="0.3">
      <c r="A5138" t="s">
        <v>1902</v>
      </c>
      <c r="B5138" t="s">
        <v>1904</v>
      </c>
      <c r="C5138">
        <v>7</v>
      </c>
      <c r="D5138" t="s">
        <v>1447</v>
      </c>
      <c r="E5138" t="s">
        <v>1907</v>
      </c>
      <c r="F5138" t="s">
        <v>1806</v>
      </c>
      <c r="I5138" s="165" t="str">
        <f>IF(ISBLANK('Q 5'!G1333),"",IF('Q 5'!G1333="&lt;please select&gt;","",'Q 5'!G1333))</f>
        <v>3398295.00641533</v>
      </c>
    </row>
    <row r="5139" spans="1:9" x14ac:dyDescent="0.3">
      <c r="A5139" t="s">
        <v>1902</v>
      </c>
      <c r="B5139" t="s">
        <v>1904</v>
      </c>
      <c r="C5139">
        <v>8</v>
      </c>
      <c r="D5139" t="s">
        <v>1447</v>
      </c>
      <c r="E5139" t="s">
        <v>1907</v>
      </c>
      <c r="F5139" t="s">
        <v>1806</v>
      </c>
      <c r="I5139" s="165" t="str">
        <f>IF(ISBLANK('Q 5'!G1334),"",IF('Q 5'!G1334="&lt;please select&gt;","",'Q 5'!G1334))</f>
        <v>3781199.16968711</v>
      </c>
    </row>
    <row r="5140" spans="1:9" x14ac:dyDescent="0.3">
      <c r="A5140" t="s">
        <v>1902</v>
      </c>
      <c r="B5140" t="s">
        <v>1904</v>
      </c>
      <c r="C5140">
        <v>9</v>
      </c>
      <c r="D5140" t="s">
        <v>1447</v>
      </c>
      <c r="E5140" t="s">
        <v>1907</v>
      </c>
      <c r="F5140" t="s">
        <v>1806</v>
      </c>
      <c r="I5140" s="165" t="str">
        <f>IF(ISBLANK('Q 5'!G1335),"",IF('Q 5'!G1335="&lt;please select&gt;","",'Q 5'!G1335))</f>
        <v>679985.386515113</v>
      </c>
    </row>
    <row r="5141" spans="1:9" x14ac:dyDescent="0.3">
      <c r="A5141" t="s">
        <v>1902</v>
      </c>
      <c r="B5141" t="s">
        <v>1904</v>
      </c>
      <c r="C5141">
        <v>10</v>
      </c>
      <c r="D5141" t="s">
        <v>1447</v>
      </c>
      <c r="E5141" t="s">
        <v>1907</v>
      </c>
      <c r="F5141" t="s">
        <v>1806</v>
      </c>
      <c r="I5141" s="165" t="str">
        <f>IF(ISBLANK('Q 5'!G1336),"",IF('Q 5'!G1336="&lt;please select&gt;","",'Q 5'!G1336))</f>
        <v>147331.010961106</v>
      </c>
    </row>
    <row r="5142" spans="1:9" x14ac:dyDescent="0.3">
      <c r="A5142" t="s">
        <v>1902</v>
      </c>
      <c r="B5142" t="s">
        <v>1904</v>
      </c>
      <c r="C5142">
        <v>11</v>
      </c>
      <c r="D5142" t="s">
        <v>1447</v>
      </c>
      <c r="E5142" t="s">
        <v>1907</v>
      </c>
      <c r="F5142" t="s">
        <v>1806</v>
      </c>
      <c r="I5142" s="165" t="str">
        <f>IF(ISBLANK('Q 5'!G1337),"",IF('Q 5'!G1337="&lt;please select&gt;","",'Q 5'!G1337))</f>
        <v>4419807.07066322</v>
      </c>
    </row>
    <row r="5143" spans="1:9" x14ac:dyDescent="0.3">
      <c r="A5143" t="s">
        <v>1902</v>
      </c>
      <c r="B5143" t="s">
        <v>1904</v>
      </c>
      <c r="C5143">
        <v>12</v>
      </c>
      <c r="D5143" t="s">
        <v>1447</v>
      </c>
      <c r="E5143" t="s">
        <v>1907</v>
      </c>
      <c r="F5143" t="s">
        <v>1806</v>
      </c>
      <c r="I5143" s="165" t="str">
        <f>IF(ISBLANK('Q 5'!G1338),"",IF('Q 5'!G1338="&lt;please select&gt;","",'Q 5'!G1338))</f>
        <v>703432.797814517</v>
      </c>
    </row>
    <row r="5144" spans="1:9" x14ac:dyDescent="0.3">
      <c r="A5144" t="s">
        <v>1902</v>
      </c>
      <c r="B5144" t="s">
        <v>1904</v>
      </c>
      <c r="C5144">
        <v>13</v>
      </c>
      <c r="D5144" t="s">
        <v>1447</v>
      </c>
      <c r="E5144" t="s">
        <v>1907</v>
      </c>
      <c r="F5144" t="s">
        <v>1806</v>
      </c>
      <c r="I5144" s="165" t="str">
        <f>IF(ISBLANK('Q 5'!G1339),"",IF('Q 5'!G1339="&lt;please select&gt;","",'Q 5'!G1339))</f>
        <v>766849.214183407</v>
      </c>
    </row>
    <row r="5145" spans="1:9" x14ac:dyDescent="0.3">
      <c r="A5145" t="s">
        <v>1902</v>
      </c>
      <c r="B5145" t="s">
        <v>1904</v>
      </c>
      <c r="C5145">
        <v>14</v>
      </c>
      <c r="D5145" t="s">
        <v>1447</v>
      </c>
      <c r="E5145" t="s">
        <v>1907</v>
      </c>
      <c r="F5145" t="s">
        <v>1806</v>
      </c>
      <c r="I5145" s="165" t="str">
        <f>IF(ISBLANK('Q 5'!G1340),"",IF('Q 5'!G1340="&lt;please select&gt;","",'Q 5'!G1340))</f>
        <v>3399409.72255377</v>
      </c>
    </row>
    <row r="5146" spans="1:9" x14ac:dyDescent="0.3">
      <c r="A5146" t="s">
        <v>1902</v>
      </c>
      <c r="B5146" t="s">
        <v>1904</v>
      </c>
      <c r="C5146">
        <v>15</v>
      </c>
      <c r="D5146" t="s">
        <v>1447</v>
      </c>
      <c r="E5146" t="s">
        <v>1907</v>
      </c>
      <c r="F5146" t="s">
        <v>1806</v>
      </c>
      <c r="I5146" s="165" t="str">
        <f>IF(ISBLANK('Q 5'!G1341),"",IF('Q 5'!G1341="&lt;please select&gt;","",'Q 5'!G1341))</f>
        <v>0</v>
      </c>
    </row>
    <row r="5147" spans="1:9" x14ac:dyDescent="0.3">
      <c r="A5147" t="s">
        <v>1902</v>
      </c>
      <c r="B5147" t="s">
        <v>1904</v>
      </c>
      <c r="C5147">
        <v>16</v>
      </c>
      <c r="D5147" t="s">
        <v>1447</v>
      </c>
      <c r="E5147" t="s">
        <v>1907</v>
      </c>
      <c r="F5147" t="s">
        <v>1806</v>
      </c>
      <c r="I5147" s="165" t="str">
        <f>IF(ISBLANK('Q 5'!G1342),"",IF('Q 5'!G1342="&lt;please select&gt;","",'Q 5'!G1342))</f>
        <v>3494895.41723201</v>
      </c>
    </row>
    <row r="5148" spans="1:9" x14ac:dyDescent="0.3">
      <c r="A5148" t="s">
        <v>1902</v>
      </c>
      <c r="B5148" t="s">
        <v>1904</v>
      </c>
      <c r="C5148">
        <v>17</v>
      </c>
      <c r="D5148" t="s">
        <v>1447</v>
      </c>
      <c r="E5148" t="s">
        <v>1907</v>
      </c>
      <c r="F5148" t="s">
        <v>1806</v>
      </c>
      <c r="I5148" s="165" t="str">
        <f>IF(ISBLANK('Q 5'!G1343),"",IF('Q 5'!G1343="&lt;please select&gt;","",'Q 5'!G1343))</f>
        <v>298958.614852613</v>
      </c>
    </row>
    <row r="5149" spans="1:9" x14ac:dyDescent="0.3">
      <c r="A5149" t="s">
        <v>1902</v>
      </c>
      <c r="B5149" t="s">
        <v>1904</v>
      </c>
      <c r="C5149">
        <v>18</v>
      </c>
      <c r="D5149" t="s">
        <v>1447</v>
      </c>
      <c r="E5149" t="s">
        <v>1907</v>
      </c>
      <c r="F5149" t="s">
        <v>1806</v>
      </c>
      <c r="I5149" s="165" t="str">
        <f>IF(ISBLANK('Q 5'!G1344),"",IF('Q 5'!G1344="&lt;please select&gt;","",'Q 5'!G1344))</f>
        <v>444954.633661564</v>
      </c>
    </row>
    <row r="5150" spans="1:9" x14ac:dyDescent="0.3">
      <c r="A5150" t="s">
        <v>1902</v>
      </c>
      <c r="B5150" t="s">
        <v>1904</v>
      </c>
      <c r="C5150">
        <v>19</v>
      </c>
      <c r="D5150" t="s">
        <v>1447</v>
      </c>
      <c r="E5150" t="s">
        <v>1907</v>
      </c>
      <c r="F5150" t="s">
        <v>1806</v>
      </c>
      <c r="I5150" s="165" t="str">
        <f>IF(ISBLANK('Q 5'!G1345),"",IF('Q 5'!G1345="&lt;please select&gt;","",'Q 5'!G1345))</f>
        <v>237495.546182359</v>
      </c>
    </row>
    <row r="5151" spans="1:9" x14ac:dyDescent="0.3">
      <c r="A5151" t="s">
        <v>1902</v>
      </c>
      <c r="B5151" t="s">
        <v>1904</v>
      </c>
      <c r="C5151">
        <v>20</v>
      </c>
      <c r="D5151" t="s">
        <v>1447</v>
      </c>
      <c r="E5151" t="s">
        <v>1907</v>
      </c>
      <c r="F5151" t="s">
        <v>1806</v>
      </c>
      <c r="I5151" s="165" t="str">
        <f>IF(ISBLANK('Q 5'!G1346),"",IF('Q 5'!G1346="&lt;please select&gt;","",'Q 5'!G1346))</f>
        <v>92307.6673533105</v>
      </c>
    </row>
    <row r="5152" spans="1:9" x14ac:dyDescent="0.3">
      <c r="A5152" t="s">
        <v>1902</v>
      </c>
      <c r="B5152" t="s">
        <v>1904</v>
      </c>
      <c r="C5152">
        <v>21</v>
      </c>
      <c r="D5152" t="s">
        <v>1447</v>
      </c>
      <c r="E5152" t="s">
        <v>1907</v>
      </c>
      <c r="F5152" t="s">
        <v>1806</v>
      </c>
      <c r="I5152" s="165" t="str">
        <f>IF(ISBLANK('Q 5'!G1347),"",IF('Q 5'!G1347="&lt;please select&gt;","",'Q 5'!G1347))</f>
        <v>150934.334654427</v>
      </c>
    </row>
    <row r="5153" spans="1:9" x14ac:dyDescent="0.3">
      <c r="A5153" t="s">
        <v>1902</v>
      </c>
      <c r="B5153" t="s">
        <v>1904</v>
      </c>
      <c r="C5153">
        <v>22</v>
      </c>
      <c r="D5153" t="s">
        <v>1447</v>
      </c>
      <c r="E5153" t="s">
        <v>1907</v>
      </c>
      <c r="F5153" t="s">
        <v>1806</v>
      </c>
      <c r="I5153" s="165" t="str">
        <f>IF(ISBLANK('Q 5'!G1348),"",IF('Q 5'!G1348="&lt;please select&gt;","",'Q 5'!G1348))</f>
        <v>229517.905120831</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1333902</v>
      </c>
    </row>
    <row r="5183" spans="1:9" x14ac:dyDescent="0.3">
      <c r="A5183" t="s">
        <v>1902</v>
      </c>
      <c r="B5183" t="s">
        <v>1904</v>
      </c>
      <c r="C5183">
        <v>2</v>
      </c>
      <c r="D5183" t="s">
        <v>1447</v>
      </c>
      <c r="E5183" t="s">
        <v>1908</v>
      </c>
      <c r="F5183" t="s">
        <v>1806</v>
      </c>
      <c r="I5183" s="165" t="str">
        <f>IF(ISBLANK('Q 5'!H1328),"",IF('Q 5'!H1328="&lt;please select&gt;","",'Q 5'!H1328))</f>
        <v>1691751.41527097</v>
      </c>
    </row>
    <row r="5184" spans="1:9" x14ac:dyDescent="0.3">
      <c r="A5184" t="s">
        <v>1902</v>
      </c>
      <c r="B5184" t="s">
        <v>1904</v>
      </c>
      <c r="C5184">
        <v>3</v>
      </c>
      <c r="D5184" t="s">
        <v>1447</v>
      </c>
      <c r="E5184" t="s">
        <v>1908</v>
      </c>
      <c r="F5184" t="s">
        <v>1806</v>
      </c>
      <c r="I5184" s="165" t="str">
        <f>IF(ISBLANK('Q 5'!H1329),"",IF('Q 5'!H1329="&lt;please select&gt;","",'Q 5'!H1329))</f>
        <v>424739.301746244</v>
      </c>
    </row>
    <row r="5185" spans="1:9" x14ac:dyDescent="0.3">
      <c r="A5185" t="s">
        <v>1902</v>
      </c>
      <c r="B5185" t="s">
        <v>1904</v>
      </c>
      <c r="C5185">
        <v>4</v>
      </c>
      <c r="D5185" t="s">
        <v>1447</v>
      </c>
      <c r="E5185" t="s">
        <v>1908</v>
      </c>
      <c r="F5185" t="s">
        <v>1806</v>
      </c>
      <c r="I5185" s="165" t="str">
        <f>IF(ISBLANK('Q 5'!H1330),"",IF('Q 5'!H1330="&lt;please select&gt;","",'Q 5'!H1330))</f>
        <v>1563086.56332076</v>
      </c>
    </row>
    <row r="5186" spans="1:9" x14ac:dyDescent="0.3">
      <c r="A5186" t="s">
        <v>1902</v>
      </c>
      <c r="B5186" t="s">
        <v>1904</v>
      </c>
      <c r="C5186">
        <v>5</v>
      </c>
      <c r="D5186" t="s">
        <v>1447</v>
      </c>
      <c r="E5186" t="s">
        <v>1908</v>
      </c>
      <c r="F5186" t="s">
        <v>1806</v>
      </c>
      <c r="I5186" s="165" t="str">
        <f>IF(ISBLANK('Q 5'!H1331),"",IF('Q 5'!H1331="&lt;please select&gt;","",'Q 5'!H1331))</f>
        <v>464370.867768947</v>
      </c>
    </row>
    <row r="5187" spans="1:9" x14ac:dyDescent="0.3">
      <c r="A5187" t="s">
        <v>1902</v>
      </c>
      <c r="B5187" t="s">
        <v>1904</v>
      </c>
      <c r="C5187">
        <v>6</v>
      </c>
      <c r="D5187" t="s">
        <v>1447</v>
      </c>
      <c r="E5187" t="s">
        <v>1908</v>
      </c>
      <c r="F5187" t="s">
        <v>1806</v>
      </c>
      <c r="I5187" s="165" t="str">
        <f>IF(ISBLANK('Q 5'!H1332),"",IF('Q 5'!H1332="&lt;please select&gt;","",'Q 5'!H1332))</f>
        <v>1149014.07221807</v>
      </c>
    </row>
    <row r="5188" spans="1:9" x14ac:dyDescent="0.3">
      <c r="A5188" t="s">
        <v>1902</v>
      </c>
      <c r="B5188" t="s">
        <v>1904</v>
      </c>
      <c r="C5188">
        <v>7</v>
      </c>
      <c r="D5188" t="s">
        <v>1447</v>
      </c>
      <c r="E5188" t="s">
        <v>1908</v>
      </c>
      <c r="F5188" t="s">
        <v>1806</v>
      </c>
      <c r="I5188" s="165" t="str">
        <f>IF(ISBLANK('Q 5'!H1333),"",IF('Q 5'!H1333="&lt;please select&gt;","",'Q 5'!H1333))</f>
        <v>3397648.9180313</v>
      </c>
    </row>
    <row r="5189" spans="1:9" x14ac:dyDescent="0.3">
      <c r="A5189" t="s">
        <v>1902</v>
      </c>
      <c r="B5189" t="s">
        <v>1904</v>
      </c>
      <c r="C5189">
        <v>8</v>
      </c>
      <c r="D5189" t="s">
        <v>1447</v>
      </c>
      <c r="E5189" t="s">
        <v>1908</v>
      </c>
      <c r="F5189" t="s">
        <v>1806</v>
      </c>
      <c r="I5189" s="165" t="str">
        <f>IF(ISBLANK('Q 5'!H1334),"",IF('Q 5'!H1334="&lt;please select&gt;","",'Q 5'!H1334))</f>
        <v>628728.227514087</v>
      </c>
    </row>
    <row r="5190" spans="1:9" x14ac:dyDescent="0.3">
      <c r="A5190" t="s">
        <v>1902</v>
      </c>
      <c r="B5190" t="s">
        <v>1904</v>
      </c>
      <c r="C5190">
        <v>9</v>
      </c>
      <c r="D5190" t="s">
        <v>1447</v>
      </c>
      <c r="E5190" t="s">
        <v>1908</v>
      </c>
      <c r="F5190" t="s">
        <v>1806</v>
      </c>
      <c r="I5190" s="165" t="str">
        <f>IF(ISBLANK('Q 5'!H1335),"",IF('Q 5'!H1335="&lt;please select&gt;","",'Q 5'!H1335))</f>
        <v>679981.175530673</v>
      </c>
    </row>
    <row r="5191" spans="1:9" x14ac:dyDescent="0.3">
      <c r="A5191" t="s">
        <v>1902</v>
      </c>
      <c r="B5191" t="s">
        <v>1904</v>
      </c>
      <c r="C5191">
        <v>10</v>
      </c>
      <c r="D5191" t="s">
        <v>1447</v>
      </c>
      <c r="E5191" t="s">
        <v>1908</v>
      </c>
      <c r="F5191" t="s">
        <v>1806</v>
      </c>
      <c r="I5191" s="165" t="str">
        <f>IF(ISBLANK('Q 5'!H1336),"",IF('Q 5'!H1336="&lt;please select&gt;","",'Q 5'!H1336))</f>
        <v>147331.010961106</v>
      </c>
    </row>
    <row r="5192" spans="1:9" x14ac:dyDescent="0.3">
      <c r="A5192" t="s">
        <v>1902</v>
      </c>
      <c r="B5192" t="s">
        <v>1904</v>
      </c>
      <c r="C5192">
        <v>11</v>
      </c>
      <c r="D5192" t="s">
        <v>1447</v>
      </c>
      <c r="E5192" t="s">
        <v>1908</v>
      </c>
      <c r="F5192" t="s">
        <v>1806</v>
      </c>
      <c r="I5192" s="165" t="str">
        <f>IF(ISBLANK('Q 5'!H1337),"",IF('Q 5'!H1337="&lt;please select&gt;","",'Q 5'!H1337))</f>
        <v>4419806.19942506</v>
      </c>
    </row>
    <row r="5193" spans="1:9" x14ac:dyDescent="0.3">
      <c r="A5193" t="s">
        <v>1902</v>
      </c>
      <c r="B5193" t="s">
        <v>1904</v>
      </c>
      <c r="C5193">
        <v>12</v>
      </c>
      <c r="D5193" t="s">
        <v>1447</v>
      </c>
      <c r="E5193" t="s">
        <v>1908</v>
      </c>
      <c r="F5193" t="s">
        <v>1806</v>
      </c>
      <c r="I5193" s="165" t="str">
        <f>IF(ISBLANK('Q 5'!H1338),"",IF('Q 5'!H1338="&lt;please select&gt;","",'Q 5'!H1338))</f>
        <v>341517.386288177</v>
      </c>
    </row>
    <row r="5194" spans="1:9" x14ac:dyDescent="0.3">
      <c r="A5194" t="s">
        <v>1902</v>
      </c>
      <c r="B5194" t="s">
        <v>1904</v>
      </c>
      <c r="C5194">
        <v>13</v>
      </c>
      <c r="D5194" t="s">
        <v>1447</v>
      </c>
      <c r="E5194" t="s">
        <v>1908</v>
      </c>
      <c r="F5194" t="s">
        <v>1806</v>
      </c>
      <c r="I5194" s="165" t="str">
        <f>IF(ISBLANK('Q 5'!H1339),"",IF('Q 5'!H1339="&lt;please select&gt;","",'Q 5'!H1339))</f>
        <v>761789.062408526</v>
      </c>
    </row>
    <row r="5195" spans="1:9" x14ac:dyDescent="0.3">
      <c r="A5195" t="s">
        <v>1902</v>
      </c>
      <c r="B5195" t="s">
        <v>1904</v>
      </c>
      <c r="C5195">
        <v>14</v>
      </c>
      <c r="D5195" t="s">
        <v>1447</v>
      </c>
      <c r="E5195" t="s">
        <v>1908</v>
      </c>
      <c r="F5195" t="s">
        <v>1806</v>
      </c>
      <c r="I5195" s="165" t="str">
        <f>IF(ISBLANK('Q 5'!H1340),"",IF('Q 5'!H1340="&lt;please select&gt;","",'Q 5'!H1340))</f>
        <v>3399403.85116617</v>
      </c>
    </row>
    <row r="5196" spans="1:9" x14ac:dyDescent="0.3">
      <c r="A5196" t="s">
        <v>1902</v>
      </c>
      <c r="B5196" t="s">
        <v>1904</v>
      </c>
      <c r="C5196">
        <v>15</v>
      </c>
      <c r="D5196" t="s">
        <v>1447</v>
      </c>
      <c r="E5196" t="s">
        <v>1908</v>
      </c>
      <c r="F5196" t="s">
        <v>1806</v>
      </c>
      <c r="I5196" s="165" t="str">
        <f>IF(ISBLANK('Q 5'!H1341),"",IF('Q 5'!H1341="&lt;please select&gt;","",'Q 5'!H1341))</f>
        <v>0</v>
      </c>
    </row>
    <row r="5197" spans="1:9" x14ac:dyDescent="0.3">
      <c r="A5197" t="s">
        <v>1902</v>
      </c>
      <c r="B5197" t="s">
        <v>1904</v>
      </c>
      <c r="C5197">
        <v>16</v>
      </c>
      <c r="D5197" t="s">
        <v>1447</v>
      </c>
      <c r="E5197" t="s">
        <v>1908</v>
      </c>
      <c r="F5197" t="s">
        <v>1806</v>
      </c>
      <c r="I5197" s="165" t="str">
        <f>IF(ISBLANK('Q 5'!H1342),"",IF('Q 5'!H1342="&lt;please select&gt;","",'Q 5'!H1342))</f>
        <v>3494889.06287543</v>
      </c>
    </row>
    <row r="5198" spans="1:9" x14ac:dyDescent="0.3">
      <c r="A5198" t="s">
        <v>1902</v>
      </c>
      <c r="B5198" t="s">
        <v>1904</v>
      </c>
      <c r="C5198">
        <v>17</v>
      </c>
      <c r="D5198" t="s">
        <v>1447</v>
      </c>
      <c r="E5198" t="s">
        <v>1908</v>
      </c>
      <c r="F5198" t="s">
        <v>1806</v>
      </c>
      <c r="I5198" s="165" t="str">
        <f>IF(ISBLANK('Q 5'!H1343),"",IF('Q 5'!H1343="&lt;please select&gt;","",'Q 5'!H1343))</f>
        <v>297296.942785152</v>
      </c>
    </row>
    <row r="5199" spans="1:9" x14ac:dyDescent="0.3">
      <c r="A5199" t="s">
        <v>1902</v>
      </c>
      <c r="B5199" t="s">
        <v>1904</v>
      </c>
      <c r="C5199">
        <v>18</v>
      </c>
      <c r="D5199" t="s">
        <v>1447</v>
      </c>
      <c r="E5199" t="s">
        <v>1908</v>
      </c>
      <c r="F5199" t="s">
        <v>1806</v>
      </c>
      <c r="I5199" s="165" t="str">
        <f>IF(ISBLANK('Q 5'!H1344),"",IF('Q 5'!H1344="&lt;please select&gt;","",'Q 5'!H1344))</f>
        <v>29227.1657792861</v>
      </c>
    </row>
    <row r="5200" spans="1:9" x14ac:dyDescent="0.3">
      <c r="A5200" t="s">
        <v>1902</v>
      </c>
      <c r="B5200" t="s">
        <v>1904</v>
      </c>
      <c r="C5200">
        <v>19</v>
      </c>
      <c r="D5200" t="s">
        <v>1447</v>
      </c>
      <c r="E5200" t="s">
        <v>1908</v>
      </c>
      <c r="F5200" t="s">
        <v>1806</v>
      </c>
      <c r="I5200" s="165" t="str">
        <f>IF(ISBLANK('Q 5'!H1345),"",IF('Q 5'!H1345="&lt;please select&gt;","",'Q 5'!H1345))</f>
        <v>2791.42087647908</v>
      </c>
    </row>
    <row r="5201" spans="1:9" x14ac:dyDescent="0.3">
      <c r="A5201" t="s">
        <v>1902</v>
      </c>
      <c r="B5201" t="s">
        <v>1904</v>
      </c>
      <c r="C5201">
        <v>20</v>
      </c>
      <c r="D5201" t="s">
        <v>1447</v>
      </c>
      <c r="E5201" t="s">
        <v>1908</v>
      </c>
      <c r="F5201" t="s">
        <v>1806</v>
      </c>
      <c r="I5201" s="165" t="str">
        <f>IF(ISBLANK('Q 5'!H1346),"",IF('Q 5'!H1346="&lt;please select&gt;","",'Q 5'!H1346))</f>
        <v>90155.96439494</v>
      </c>
    </row>
    <row r="5202" spans="1:9" x14ac:dyDescent="0.3">
      <c r="A5202" t="s">
        <v>1902</v>
      </c>
      <c r="B5202" t="s">
        <v>1904</v>
      </c>
      <c r="C5202">
        <v>21</v>
      </c>
      <c r="D5202" t="s">
        <v>1447</v>
      </c>
      <c r="E5202" t="s">
        <v>1908</v>
      </c>
      <c r="F5202" t="s">
        <v>1806</v>
      </c>
      <c r="I5202" s="165" t="str">
        <f>IF(ISBLANK('Q 5'!H1347),"",IF('Q 5'!H1347="&lt;please select&gt;","",'Q 5'!H1347))</f>
        <v>23438.9239249571</v>
      </c>
    </row>
    <row r="5203" spans="1:9" x14ac:dyDescent="0.3">
      <c r="A5203" t="s">
        <v>1902</v>
      </c>
      <c r="B5203" t="s">
        <v>1904</v>
      </c>
      <c r="C5203">
        <v>22</v>
      </c>
      <c r="D5203" t="s">
        <v>1447</v>
      </c>
      <c r="E5203" t="s">
        <v>1908</v>
      </c>
      <c r="F5203" t="s">
        <v>1806</v>
      </c>
      <c r="I5203" s="165" t="str">
        <f>IF(ISBLANK('Q 5'!H1348),"",IF('Q 5'!H1348="&lt;please select&gt;","",'Q 5'!H1348))</f>
        <v>4719.5</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No</v>
      </c>
    </row>
    <row r="5233" spans="1:11" x14ac:dyDescent="0.3">
      <c r="A5233" t="s">
        <v>1902</v>
      </c>
      <c r="B5233" t="s">
        <v>1904</v>
      </c>
      <c r="C5233">
        <v>2</v>
      </c>
      <c r="D5233" t="s">
        <v>1447</v>
      </c>
      <c r="E5233" t="s">
        <v>1909</v>
      </c>
      <c r="F5233" t="s">
        <v>1759</v>
      </c>
      <c r="K5233" t="str">
        <f>IF(ISBLANK('Q 5'!I1328),"",IF('Q 5'!I1328="&lt;please select&gt;","",'Q 5'!I1328))</f>
        <v>No</v>
      </c>
    </row>
    <row r="5234" spans="1:11" x14ac:dyDescent="0.3">
      <c r="A5234" t="s">
        <v>1902</v>
      </c>
      <c r="B5234" t="s">
        <v>1904</v>
      </c>
      <c r="C5234">
        <v>3</v>
      </c>
      <c r="D5234" t="s">
        <v>1447</v>
      </c>
      <c r="E5234" t="s">
        <v>1909</v>
      </c>
      <c r="F5234" t="s">
        <v>1759</v>
      </c>
      <c r="K5234" t="str">
        <f>IF(ISBLANK('Q 5'!I1329),"",IF('Q 5'!I1329="&lt;please select&gt;","",'Q 5'!I1329))</f>
        <v>Yes</v>
      </c>
    </row>
    <row r="5235" spans="1:11" x14ac:dyDescent="0.3">
      <c r="A5235" t="s">
        <v>1902</v>
      </c>
      <c r="B5235" t="s">
        <v>1904</v>
      </c>
      <c r="C5235">
        <v>4</v>
      </c>
      <c r="D5235" t="s">
        <v>1447</v>
      </c>
      <c r="E5235" t="s">
        <v>1909</v>
      </c>
      <c r="F5235" t="s">
        <v>1759</v>
      </c>
      <c r="K5235" t="str">
        <f>IF(ISBLANK('Q 5'!I1330),"",IF('Q 5'!I1330="&lt;please select&gt;","",'Q 5'!I1330))</f>
        <v>No</v>
      </c>
    </row>
    <row r="5236" spans="1:11" x14ac:dyDescent="0.3">
      <c r="A5236" t="s">
        <v>1902</v>
      </c>
      <c r="B5236" t="s">
        <v>1904</v>
      </c>
      <c r="C5236">
        <v>5</v>
      </c>
      <c r="D5236" t="s">
        <v>1447</v>
      </c>
      <c r="E5236" t="s">
        <v>1909</v>
      </c>
      <c r="F5236" t="s">
        <v>1759</v>
      </c>
      <c r="K5236" t="str">
        <f>IF(ISBLANK('Q 5'!I1331),"",IF('Q 5'!I1331="&lt;please select&gt;","",'Q 5'!I1331))</f>
        <v>Yes</v>
      </c>
    </row>
    <row r="5237" spans="1:11" x14ac:dyDescent="0.3">
      <c r="A5237" t="s">
        <v>1902</v>
      </c>
      <c r="B5237" t="s">
        <v>1904</v>
      </c>
      <c r="C5237">
        <v>6</v>
      </c>
      <c r="D5237" t="s">
        <v>1447</v>
      </c>
      <c r="E5237" t="s">
        <v>1909</v>
      </c>
      <c r="F5237" t="s">
        <v>1759</v>
      </c>
      <c r="K5237" t="str">
        <f>IF(ISBLANK('Q 5'!I1332),"",IF('Q 5'!I1332="&lt;please select&gt;","",'Q 5'!I1332))</f>
        <v>No</v>
      </c>
    </row>
    <row r="5238" spans="1:11" x14ac:dyDescent="0.3">
      <c r="A5238" t="s">
        <v>1902</v>
      </c>
      <c r="B5238" t="s">
        <v>1904</v>
      </c>
      <c r="C5238">
        <v>7</v>
      </c>
      <c r="D5238" t="s">
        <v>1447</v>
      </c>
      <c r="E5238" t="s">
        <v>1909</v>
      </c>
      <c r="F5238" t="s">
        <v>1759</v>
      </c>
      <c r="K5238" t="str">
        <f>IF(ISBLANK('Q 5'!I1333),"",IF('Q 5'!I1333="&lt;please select&gt;","",'Q 5'!I1333))</f>
        <v>No</v>
      </c>
    </row>
    <row r="5239" spans="1:11" x14ac:dyDescent="0.3">
      <c r="A5239" t="s">
        <v>1902</v>
      </c>
      <c r="B5239" t="s">
        <v>1904</v>
      </c>
      <c r="C5239">
        <v>8</v>
      </c>
      <c r="D5239" t="s">
        <v>1447</v>
      </c>
      <c r="E5239" t="s">
        <v>1909</v>
      </c>
      <c r="F5239" t="s">
        <v>1759</v>
      </c>
      <c r="K5239" t="str">
        <f>IF(ISBLANK('Q 5'!I1334),"",IF('Q 5'!I1334="&lt;please select&gt;","",'Q 5'!I1334))</f>
        <v>No</v>
      </c>
    </row>
    <row r="5240" spans="1:11" x14ac:dyDescent="0.3">
      <c r="A5240" t="s">
        <v>1902</v>
      </c>
      <c r="B5240" t="s">
        <v>1904</v>
      </c>
      <c r="C5240">
        <v>9</v>
      </c>
      <c r="D5240" t="s">
        <v>1447</v>
      </c>
      <c r="E5240" t="s">
        <v>1909</v>
      </c>
      <c r="F5240" t="s">
        <v>1759</v>
      </c>
      <c r="K5240" t="str">
        <f>IF(ISBLANK('Q 5'!I1335),"",IF('Q 5'!I1335="&lt;please select&gt;","",'Q 5'!I1335))</f>
        <v>No</v>
      </c>
    </row>
    <row r="5241" spans="1:11" x14ac:dyDescent="0.3">
      <c r="A5241" t="s">
        <v>1902</v>
      </c>
      <c r="B5241" t="s">
        <v>1904</v>
      </c>
      <c r="C5241">
        <v>10</v>
      </c>
      <c r="D5241" t="s">
        <v>1447</v>
      </c>
      <c r="E5241" t="s">
        <v>1909</v>
      </c>
      <c r="F5241" t="s">
        <v>1759</v>
      </c>
      <c r="K5241" t="str">
        <f>IF(ISBLANK('Q 5'!I1336),"",IF('Q 5'!I1336="&lt;please select&gt;","",'Q 5'!I1336))</f>
        <v>No</v>
      </c>
    </row>
    <row r="5242" spans="1:11" x14ac:dyDescent="0.3">
      <c r="A5242" t="s">
        <v>1902</v>
      </c>
      <c r="B5242" t="s">
        <v>1904</v>
      </c>
      <c r="C5242">
        <v>11</v>
      </c>
      <c r="D5242" t="s">
        <v>1447</v>
      </c>
      <c r="E5242" t="s">
        <v>1909</v>
      </c>
      <c r="F5242" t="s">
        <v>1759</v>
      </c>
      <c r="K5242" t="str">
        <f>IF(ISBLANK('Q 5'!I1337),"",IF('Q 5'!I1337="&lt;please select&gt;","",'Q 5'!I1337))</f>
        <v>No</v>
      </c>
    </row>
    <row r="5243" spans="1:11" x14ac:dyDescent="0.3">
      <c r="A5243" t="s">
        <v>1902</v>
      </c>
      <c r="B5243" t="s">
        <v>1904</v>
      </c>
      <c r="C5243">
        <v>12</v>
      </c>
      <c r="D5243" t="s">
        <v>1447</v>
      </c>
      <c r="E5243" t="s">
        <v>1909</v>
      </c>
      <c r="F5243" t="s">
        <v>1759</v>
      </c>
      <c r="K5243" t="str">
        <f>IF(ISBLANK('Q 5'!I1338),"",IF('Q 5'!I1338="&lt;please select&gt;","",'Q 5'!I1338))</f>
        <v>Yes</v>
      </c>
    </row>
    <row r="5244" spans="1:11" x14ac:dyDescent="0.3">
      <c r="A5244" t="s">
        <v>1902</v>
      </c>
      <c r="B5244" t="s">
        <v>1904</v>
      </c>
      <c r="C5244">
        <v>13</v>
      </c>
      <c r="D5244" t="s">
        <v>1447</v>
      </c>
      <c r="E5244" t="s">
        <v>1909</v>
      </c>
      <c r="F5244" t="s">
        <v>1759</v>
      </c>
      <c r="K5244" t="str">
        <f>IF(ISBLANK('Q 5'!I1339),"",IF('Q 5'!I1339="&lt;please select&gt;","",'Q 5'!I1339))</f>
        <v>Yes</v>
      </c>
    </row>
    <row r="5245" spans="1:11" x14ac:dyDescent="0.3">
      <c r="A5245" t="s">
        <v>1902</v>
      </c>
      <c r="B5245" t="s">
        <v>1904</v>
      </c>
      <c r="C5245">
        <v>14</v>
      </c>
      <c r="D5245" t="s">
        <v>1447</v>
      </c>
      <c r="E5245" t="s">
        <v>1909</v>
      </c>
      <c r="F5245" t="s">
        <v>1759</v>
      </c>
      <c r="K5245" t="str">
        <f>IF(ISBLANK('Q 5'!I1340),"",IF('Q 5'!I1340="&lt;please select&gt;","",'Q 5'!I1340))</f>
        <v>No</v>
      </c>
    </row>
    <row r="5246" spans="1:11" x14ac:dyDescent="0.3">
      <c r="A5246" t="s">
        <v>1902</v>
      </c>
      <c r="B5246" t="s">
        <v>1904</v>
      </c>
      <c r="C5246">
        <v>15</v>
      </c>
      <c r="D5246" t="s">
        <v>1447</v>
      </c>
      <c r="E5246" t="s">
        <v>1909</v>
      </c>
      <c r="F5246" t="s">
        <v>1759</v>
      </c>
      <c r="K5246" t="str">
        <f>IF(ISBLANK('Q 5'!I1341),"",IF('Q 5'!I1341="&lt;please select&gt;","",'Q 5'!I1341))</f>
        <v>No</v>
      </c>
    </row>
    <row r="5247" spans="1:11" x14ac:dyDescent="0.3">
      <c r="A5247" t="s">
        <v>1902</v>
      </c>
      <c r="B5247" t="s">
        <v>1904</v>
      </c>
      <c r="C5247">
        <v>16</v>
      </c>
      <c r="D5247" t="s">
        <v>1447</v>
      </c>
      <c r="E5247" t="s">
        <v>1909</v>
      </c>
      <c r="F5247" t="s">
        <v>1759</v>
      </c>
      <c r="K5247" t="str">
        <f>IF(ISBLANK('Q 5'!I1342),"",IF('Q 5'!I1342="&lt;please select&gt;","",'Q 5'!I1342))</f>
        <v>No</v>
      </c>
    </row>
    <row r="5248" spans="1:11" x14ac:dyDescent="0.3">
      <c r="A5248" t="s">
        <v>1902</v>
      </c>
      <c r="B5248" t="s">
        <v>1904</v>
      </c>
      <c r="C5248">
        <v>17</v>
      </c>
      <c r="D5248" t="s">
        <v>1447</v>
      </c>
      <c r="E5248" t="s">
        <v>1909</v>
      </c>
      <c r="F5248" t="s">
        <v>1759</v>
      </c>
      <c r="K5248" t="str">
        <f>IF(ISBLANK('Q 5'!I1343),"",IF('Q 5'!I1343="&lt;please select&gt;","",'Q 5'!I1343))</f>
        <v>No</v>
      </c>
    </row>
    <row r="5249" spans="1:11" x14ac:dyDescent="0.3">
      <c r="A5249" t="s">
        <v>1902</v>
      </c>
      <c r="B5249" t="s">
        <v>1904</v>
      </c>
      <c r="C5249">
        <v>18</v>
      </c>
      <c r="D5249" t="s">
        <v>1447</v>
      </c>
      <c r="E5249" t="s">
        <v>1909</v>
      </c>
      <c r="F5249" t="s">
        <v>1759</v>
      </c>
      <c r="K5249" t="str">
        <f>IF(ISBLANK('Q 5'!I1344),"",IF('Q 5'!I1344="&lt;please select&gt;","",'Q 5'!I1344))</f>
        <v>Yes</v>
      </c>
    </row>
    <row r="5250" spans="1:11" x14ac:dyDescent="0.3">
      <c r="A5250" t="s">
        <v>1902</v>
      </c>
      <c r="B5250" t="s">
        <v>1904</v>
      </c>
      <c r="C5250">
        <v>19</v>
      </c>
      <c r="D5250" t="s">
        <v>1447</v>
      </c>
      <c r="E5250" t="s">
        <v>1909</v>
      </c>
      <c r="F5250" t="s">
        <v>1759</v>
      </c>
      <c r="K5250" t="str">
        <f>IF(ISBLANK('Q 5'!I1345),"",IF('Q 5'!I1345="&lt;please select&gt;","",'Q 5'!I1345))</f>
        <v>No</v>
      </c>
    </row>
    <row r="5251" spans="1:11" x14ac:dyDescent="0.3">
      <c r="A5251" t="s">
        <v>1902</v>
      </c>
      <c r="B5251" t="s">
        <v>1904</v>
      </c>
      <c r="C5251">
        <v>20</v>
      </c>
      <c r="D5251" t="s">
        <v>1447</v>
      </c>
      <c r="E5251" t="s">
        <v>1909</v>
      </c>
      <c r="F5251" t="s">
        <v>1759</v>
      </c>
      <c r="K5251" t="str">
        <f>IF(ISBLANK('Q 5'!I1346),"",IF('Q 5'!I1346="&lt;please select&gt;","",'Q 5'!I1346))</f>
        <v>No</v>
      </c>
    </row>
    <row r="5252" spans="1:11" x14ac:dyDescent="0.3">
      <c r="A5252" t="s">
        <v>1902</v>
      </c>
      <c r="B5252" t="s">
        <v>1904</v>
      </c>
      <c r="C5252">
        <v>21</v>
      </c>
      <c r="D5252" t="s">
        <v>1447</v>
      </c>
      <c r="E5252" t="s">
        <v>1909</v>
      </c>
      <c r="F5252" t="s">
        <v>1759</v>
      </c>
      <c r="K5252" t="str">
        <f>IF(ISBLANK('Q 5'!I1347),"",IF('Q 5'!I1347="&lt;please select&gt;","",'Q 5'!I1347))</f>
        <v>No</v>
      </c>
    </row>
    <row r="5253" spans="1:11" x14ac:dyDescent="0.3">
      <c r="A5253" t="s">
        <v>1902</v>
      </c>
      <c r="B5253" t="s">
        <v>1904</v>
      </c>
      <c r="C5253">
        <v>22</v>
      </c>
      <c r="D5253" t="s">
        <v>1447</v>
      </c>
      <c r="E5253" t="s">
        <v>1909</v>
      </c>
      <c r="F5253" t="s">
        <v>1759</v>
      </c>
      <c r="K5253" t="str">
        <f>IF(ISBLANK('Q 5'!I1348),"",IF('Q 5'!I1348="&lt;please select&gt;","",'Q 5'!I1348))</f>
        <v>No</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For 2021, the derrogation pursuant to regulation 2022/388/EU is used and the sustainability of biomass os considered as fulfilled. Nevertheless, operators are expected to be able to provide informatiopn about the origin of biomass. In case of obvious non-compliance with the criteria, the biomass might be evaluated case by case by the competent autrhority and not considered as sustainable. No such source stream occured.</v>
      </c>
    </row>
    <row r="5283" spans="1:11" x14ac:dyDescent="0.3">
      <c r="A5283" t="s">
        <v>1910</v>
      </c>
      <c r="B5283" t="s">
        <v>1912</v>
      </c>
      <c r="C5283">
        <v>1</v>
      </c>
      <c r="D5283" t="s">
        <v>1447</v>
      </c>
      <c r="E5283" t="s">
        <v>1888</v>
      </c>
      <c r="F5283" t="s">
        <v>1737</v>
      </c>
      <c r="K5283" t="str">
        <f>IF(ISBLANK('Q 5'!C1389),"",IF('Q 5'!C1389="&lt;please select&gt;","",'Q 5'!C1389))</f>
        <v>32 - Manufacture of ceramic products as specified in Annex I of Directive 2003/87/EC</v>
      </c>
    </row>
    <row r="5284" spans="1:11" x14ac:dyDescent="0.3">
      <c r="A5284" t="s">
        <v>1910</v>
      </c>
      <c r="B5284" t="s">
        <v>1912</v>
      </c>
      <c r="C5284">
        <v>2</v>
      </c>
      <c r="D5284" t="s">
        <v>1447</v>
      </c>
      <c r="E5284" t="s">
        <v>1888</v>
      </c>
      <c r="F5284" t="s">
        <v>1737</v>
      </c>
      <c r="K5284" t="str">
        <f>IF(ISBLANK('Q 5'!C1390),"",IF('Q 5'!C1390="&lt;please select&gt;","",'Q 5'!C1390))</f>
        <v>20 - Combustion of fuels as specified in Annex I of Directive 2003/87/EC</v>
      </c>
    </row>
    <row r="5285" spans="1:11" x14ac:dyDescent="0.3">
      <c r="A5285" t="s">
        <v>1910</v>
      </c>
      <c r="B5285" t="s">
        <v>1912</v>
      </c>
      <c r="C5285">
        <v>3</v>
      </c>
      <c r="D5285" t="s">
        <v>1447</v>
      </c>
      <c r="E5285" t="s">
        <v>1888</v>
      </c>
      <c r="F5285" t="s">
        <v>1737</v>
      </c>
      <c r="K5285" t="str">
        <f>IF(ISBLANK('Q 5'!C1391),"",IF('Q 5'!C1391="&lt;please select&gt;","",'Q 5'!C1391))</f>
        <v>20 - Combustion of fuels as specified in Annex I of Directive 2003/87/EC</v>
      </c>
    </row>
    <row r="5286" spans="1:11" x14ac:dyDescent="0.3">
      <c r="A5286" t="s">
        <v>1910</v>
      </c>
      <c r="B5286" t="s">
        <v>1912</v>
      </c>
      <c r="C5286">
        <v>4</v>
      </c>
      <c r="D5286" t="s">
        <v>1447</v>
      </c>
      <c r="E5286" t="s">
        <v>1888</v>
      </c>
      <c r="F5286" t="s">
        <v>1737</v>
      </c>
      <c r="K5286" t="str">
        <f>IF(ISBLANK('Q 5'!C1392),"",IF('Q 5'!C1392="&lt;please select&gt;","",'Q 5'!C1392))</f>
        <v>20 - Combustion of fuels as specified in Annex I of Directive 2003/87/EC</v>
      </c>
    </row>
    <row r="5287" spans="1:11" x14ac:dyDescent="0.3">
      <c r="A5287" t="s">
        <v>1910</v>
      </c>
      <c r="B5287" t="s">
        <v>1912</v>
      </c>
      <c r="C5287">
        <v>5</v>
      </c>
      <c r="D5287" t="s">
        <v>1447</v>
      </c>
      <c r="E5287" t="s">
        <v>1888</v>
      </c>
      <c r="F5287" t="s">
        <v>1737</v>
      </c>
      <c r="K5287" t="str">
        <f>IF(ISBLANK('Q 5'!C1393),"",IF('Q 5'!C1393="&lt;please select&gt;","",'Q 5'!C1393))</f>
        <v>35 - Production of pulp as specified in Annex I of Directive 2003/87/EC</v>
      </c>
    </row>
    <row r="5288" spans="1:11" x14ac:dyDescent="0.3">
      <c r="A5288" t="s">
        <v>1910</v>
      </c>
      <c r="B5288" t="s">
        <v>1912</v>
      </c>
      <c r="C5288">
        <v>6</v>
      </c>
      <c r="D5288" t="s">
        <v>1447</v>
      </c>
      <c r="E5288" t="s">
        <v>1888</v>
      </c>
      <c r="F5288" t="s">
        <v>1737</v>
      </c>
      <c r="K5288" t="str">
        <f>IF(ISBLANK('Q 5'!C1394),"",IF('Q 5'!C1394="&lt;please select&gt;","",'Q 5'!C1394))</f>
        <v>35 - Production of pulp as specified in Annex I of Directive 2003/87/EC</v>
      </c>
    </row>
    <row r="5289" spans="1:11" x14ac:dyDescent="0.3">
      <c r="A5289" t="s">
        <v>1910</v>
      </c>
      <c r="B5289" t="s">
        <v>1912</v>
      </c>
      <c r="C5289">
        <v>7</v>
      </c>
      <c r="D5289" t="s">
        <v>1447</v>
      </c>
      <c r="E5289" t="s">
        <v>1888</v>
      </c>
      <c r="F5289" t="s">
        <v>1737</v>
      </c>
      <c r="K5289" t="str">
        <f>IF(ISBLANK('Q 5'!C1395),"",IF('Q 5'!C1395="&lt;please select&gt;","",'Q 5'!C1395))</f>
        <v>29 - Production of cement clinker in rotary kilns as specified in Annex I of Directive 2003/87/ EC</v>
      </c>
    </row>
    <row r="5290" spans="1:11" x14ac:dyDescent="0.3">
      <c r="A5290" t="s">
        <v>1910</v>
      </c>
      <c r="B5290" t="s">
        <v>1912</v>
      </c>
      <c r="C5290">
        <v>8</v>
      </c>
      <c r="D5290" t="s">
        <v>1447</v>
      </c>
      <c r="E5290" t="s">
        <v>1888</v>
      </c>
      <c r="F5290" t="s">
        <v>1737</v>
      </c>
      <c r="K5290" t="str">
        <f>IF(ISBLANK('Q 5'!C1396),"",IF('Q 5'!C1396="&lt;please select&gt;","",'Q 5'!C1396))</f>
        <v>29 - Production of cement clinker in rotary kilns as specified in Annex I of Directive 2003/87/ EC</v>
      </c>
    </row>
    <row r="5291" spans="1:11" x14ac:dyDescent="0.3">
      <c r="A5291" t="s">
        <v>1910</v>
      </c>
      <c r="B5291" t="s">
        <v>1912</v>
      </c>
      <c r="C5291">
        <v>9</v>
      </c>
      <c r="D5291" t="s">
        <v>1447</v>
      </c>
      <c r="E5291" t="s">
        <v>1888</v>
      </c>
      <c r="F5291" t="s">
        <v>1737</v>
      </c>
      <c r="K5291" t="str">
        <f>IF(ISBLANK('Q 5'!C1397),"",IF('Q 5'!C1397="&lt;please select&gt;","",'Q 5'!C1397))</f>
        <v>30 - Production of lime or calcination of dolomite or magnesite as specified in Annex I of Directive 2003/87/ EC</v>
      </c>
    </row>
    <row r="5292" spans="1:11" x14ac:dyDescent="0.3">
      <c r="A5292" t="s">
        <v>1910</v>
      </c>
      <c r="B5292" t="s">
        <v>1912</v>
      </c>
      <c r="C5292">
        <v>10</v>
      </c>
      <c r="D5292" t="s">
        <v>1447</v>
      </c>
      <c r="E5292" t="s">
        <v>1888</v>
      </c>
      <c r="F5292" t="s">
        <v>1737</v>
      </c>
      <c r="K5292" t="str">
        <f>IF(ISBLANK('Q 5'!C1398),"",IF('Q 5'!C1398="&lt;please select&gt;","",'Q 5'!C1398))</f>
        <v xml:space="preserve">36 - Production of paper or cardboard as specified in Annex I of Directive 2003/87/EC </v>
      </c>
    </row>
    <row r="5293" spans="1:11" x14ac:dyDescent="0.3">
      <c r="A5293" t="s">
        <v>1910</v>
      </c>
      <c r="B5293" t="s">
        <v>1912</v>
      </c>
      <c r="C5293">
        <v>11</v>
      </c>
      <c r="D5293" t="s">
        <v>1447</v>
      </c>
      <c r="E5293" t="s">
        <v>1888</v>
      </c>
      <c r="F5293" t="s">
        <v>1737</v>
      </c>
      <c r="K5293" t="str">
        <f>IF(ISBLANK('Q 5'!C1399),"",IF('Q 5'!C1399="&lt;please select&gt;","",'Q 5'!C1399))</f>
        <v xml:space="preserve">38 - Production of nitric acid </v>
      </c>
    </row>
    <row r="5294" spans="1:11" x14ac:dyDescent="0.3">
      <c r="A5294" t="s">
        <v>1910</v>
      </c>
      <c r="B5294" t="s">
        <v>1912</v>
      </c>
      <c r="C5294">
        <v>12</v>
      </c>
      <c r="D5294" t="s">
        <v>1447</v>
      </c>
      <c r="E5294" t="s">
        <v>1888</v>
      </c>
      <c r="F5294" t="s">
        <v>1737</v>
      </c>
      <c r="K5294" t="str">
        <f>IF(ISBLANK('Q 5'!C1400),"",IF('Q 5'!C1400="&lt;please select&gt;","",'Q 5'!C1400))</f>
        <v>24 - Production of pig iron or steel as specified in Annex I of Directive 2003/87/EC</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A</v>
      </c>
    </row>
    <row r="5334" spans="1:11" x14ac:dyDescent="0.3">
      <c r="A5334" t="s">
        <v>1910</v>
      </c>
      <c r="B5334" t="s">
        <v>1912</v>
      </c>
      <c r="C5334">
        <v>2</v>
      </c>
      <c r="D5334" t="s">
        <v>1447</v>
      </c>
      <c r="E5334" t="s">
        <v>1913</v>
      </c>
      <c r="F5334" t="s">
        <v>1737</v>
      </c>
      <c r="K5334" t="str">
        <f>IF(ISBLANK('Q 5'!D1390),"",IF('Q 5'!D1390="&lt;please select&gt;","",'Q 5'!D1390))</f>
        <v>Category C</v>
      </c>
    </row>
    <row r="5335" spans="1:11" x14ac:dyDescent="0.3">
      <c r="A5335" t="s">
        <v>1910</v>
      </c>
      <c r="B5335" t="s">
        <v>1912</v>
      </c>
      <c r="C5335">
        <v>3</v>
      </c>
      <c r="D5335" t="s">
        <v>1447</v>
      </c>
      <c r="E5335" t="s">
        <v>1913</v>
      </c>
      <c r="F5335" t="s">
        <v>1737</v>
      </c>
      <c r="K5335" t="str">
        <f>IF(ISBLANK('Q 5'!D1391),"",IF('Q 5'!D1391="&lt;please select&gt;","",'Q 5'!D1391))</f>
        <v>Category B</v>
      </c>
    </row>
    <row r="5336" spans="1:11" x14ac:dyDescent="0.3">
      <c r="A5336" t="s">
        <v>1910</v>
      </c>
      <c r="B5336" t="s">
        <v>1912</v>
      </c>
      <c r="C5336">
        <v>4</v>
      </c>
      <c r="D5336" t="s">
        <v>1447</v>
      </c>
      <c r="E5336" t="s">
        <v>1913</v>
      </c>
      <c r="F5336" t="s">
        <v>1737</v>
      </c>
      <c r="K5336" t="str">
        <f>IF(ISBLANK('Q 5'!D1392),"",IF('Q 5'!D1392="&lt;please select&gt;","",'Q 5'!D1392))</f>
        <v>Category A</v>
      </c>
    </row>
    <row r="5337" spans="1:11" x14ac:dyDescent="0.3">
      <c r="A5337" t="s">
        <v>1910</v>
      </c>
      <c r="B5337" t="s">
        <v>1912</v>
      </c>
      <c r="C5337">
        <v>5</v>
      </c>
      <c r="D5337" t="s">
        <v>1447</v>
      </c>
      <c r="E5337" t="s">
        <v>1913</v>
      </c>
      <c r="F5337" t="s">
        <v>1737</v>
      </c>
      <c r="K5337" t="str">
        <f>IF(ISBLANK('Q 5'!D1393),"",IF('Q 5'!D1393="&lt;please select&gt;","",'Q 5'!D1393))</f>
        <v>Category B</v>
      </c>
    </row>
    <row r="5338" spans="1:11" x14ac:dyDescent="0.3">
      <c r="A5338" t="s">
        <v>1910</v>
      </c>
      <c r="B5338" t="s">
        <v>1912</v>
      </c>
      <c r="C5338">
        <v>6</v>
      </c>
      <c r="D5338" t="s">
        <v>1447</v>
      </c>
      <c r="E5338" t="s">
        <v>1913</v>
      </c>
      <c r="F5338" t="s">
        <v>1737</v>
      </c>
      <c r="K5338" t="str">
        <f>IF(ISBLANK('Q 5'!D1394),"",IF('Q 5'!D1394="&lt;please select&gt;","",'Q 5'!D1394))</f>
        <v>Category A</v>
      </c>
    </row>
    <row r="5339" spans="1:11" x14ac:dyDescent="0.3">
      <c r="A5339" t="s">
        <v>1910</v>
      </c>
      <c r="B5339" t="s">
        <v>1912</v>
      </c>
      <c r="C5339">
        <v>7</v>
      </c>
      <c r="D5339" t="s">
        <v>1447</v>
      </c>
      <c r="E5339" t="s">
        <v>1913</v>
      </c>
      <c r="F5339" t="s">
        <v>1737</v>
      </c>
      <c r="K5339" t="str">
        <f>IF(ISBLANK('Q 5'!D1395),"",IF('Q 5'!D1395="&lt;please select&gt;","",'Q 5'!D1395))</f>
        <v>Category C</v>
      </c>
    </row>
    <row r="5340" spans="1:11" x14ac:dyDescent="0.3">
      <c r="A5340" t="s">
        <v>1910</v>
      </c>
      <c r="B5340" t="s">
        <v>1912</v>
      </c>
      <c r="C5340">
        <v>8</v>
      </c>
      <c r="D5340" t="s">
        <v>1447</v>
      </c>
      <c r="E5340" t="s">
        <v>1913</v>
      </c>
      <c r="F5340" t="s">
        <v>1737</v>
      </c>
      <c r="K5340" t="str">
        <f>IF(ISBLANK('Q 5'!D1396),"",IF('Q 5'!D1396="&lt;please select&gt;","",'Q 5'!D1396))</f>
        <v>Category B</v>
      </c>
    </row>
    <row r="5341" spans="1:11" x14ac:dyDescent="0.3">
      <c r="A5341" t="s">
        <v>1910</v>
      </c>
      <c r="B5341" t="s">
        <v>1912</v>
      </c>
      <c r="C5341">
        <v>9</v>
      </c>
      <c r="D5341" t="s">
        <v>1447</v>
      </c>
      <c r="E5341" t="s">
        <v>1913</v>
      </c>
      <c r="F5341" t="s">
        <v>1737</v>
      </c>
      <c r="K5341" t="str">
        <f>IF(ISBLANK('Q 5'!D1397),"",IF('Q 5'!D1397="&lt;please select&gt;","",'Q 5'!D1397))</f>
        <v>Category B</v>
      </c>
    </row>
    <row r="5342" spans="1:11" x14ac:dyDescent="0.3">
      <c r="A5342" t="s">
        <v>1910</v>
      </c>
      <c r="B5342" t="s">
        <v>1912</v>
      </c>
      <c r="C5342">
        <v>10</v>
      </c>
      <c r="D5342" t="s">
        <v>1447</v>
      </c>
      <c r="E5342" t="s">
        <v>1913</v>
      </c>
      <c r="F5342" t="s">
        <v>1737</v>
      </c>
      <c r="K5342" t="str">
        <f>IF(ISBLANK('Q 5'!D1398),"",IF('Q 5'!D1398="&lt;please select&gt;","",'Q 5'!D1398))</f>
        <v>Category A</v>
      </c>
    </row>
    <row r="5343" spans="1:11" x14ac:dyDescent="0.3">
      <c r="A5343" t="s">
        <v>1910</v>
      </c>
      <c r="B5343" t="s">
        <v>1912</v>
      </c>
      <c r="C5343">
        <v>11</v>
      </c>
      <c r="D5343" t="s">
        <v>1447</v>
      </c>
      <c r="E5343" t="s">
        <v>1913</v>
      </c>
      <c r="F5343" t="s">
        <v>1737</v>
      </c>
      <c r="K5343" t="str">
        <f>IF(ISBLANK('Q 5'!D1399),"",IF('Q 5'!D1399="&lt;please select&gt;","",'Q 5'!D1399))</f>
        <v>Category B</v>
      </c>
    </row>
    <row r="5344" spans="1:11" x14ac:dyDescent="0.3">
      <c r="A5344" t="s">
        <v>1910</v>
      </c>
      <c r="B5344" t="s">
        <v>1912</v>
      </c>
      <c r="C5344">
        <v>12</v>
      </c>
      <c r="D5344" t="s">
        <v>1447</v>
      </c>
      <c r="E5344" t="s">
        <v>1913</v>
      </c>
      <c r="F5344" t="s">
        <v>1737</v>
      </c>
      <c r="K5344" t="str">
        <f>IF(ISBLANK('Q 5'!D1400),"",IF('Q 5'!D1400="&lt;please select&gt;","",'Q 5'!D1400))</f>
        <v>Category B</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13</v>
      </c>
    </row>
    <row r="5384" spans="1:11" x14ac:dyDescent="0.3">
      <c r="A5384" t="s">
        <v>1910</v>
      </c>
      <c r="B5384" t="s">
        <v>1912</v>
      </c>
      <c r="C5384">
        <v>2</v>
      </c>
      <c r="D5384" t="s">
        <v>1447</v>
      </c>
      <c r="E5384" t="s">
        <v>1914</v>
      </c>
      <c r="F5384" t="s">
        <v>1748</v>
      </c>
      <c r="H5384" t="str">
        <f>IF(ISBLANK('Q 5'!E1390),"",IF('Q 5'!E1390="&lt;please select&gt;","",'Q 5'!E1390))</f>
        <v>5</v>
      </c>
    </row>
    <row r="5385" spans="1:11" x14ac:dyDescent="0.3">
      <c r="A5385" t="s">
        <v>1910</v>
      </c>
      <c r="B5385" t="s">
        <v>1912</v>
      </c>
      <c r="C5385">
        <v>3</v>
      </c>
      <c r="D5385" t="s">
        <v>1447</v>
      </c>
      <c r="E5385" t="s">
        <v>1914</v>
      </c>
      <c r="F5385" t="s">
        <v>1748</v>
      </c>
      <c r="H5385" t="str">
        <f>IF(ISBLANK('Q 5'!E1391),"",IF('Q 5'!E1391="&lt;please select&gt;","",'Q 5'!E1391))</f>
        <v>14</v>
      </c>
    </row>
    <row r="5386" spans="1:11" x14ac:dyDescent="0.3">
      <c r="A5386" t="s">
        <v>1910</v>
      </c>
      <c r="B5386" t="s">
        <v>1912</v>
      </c>
      <c r="C5386">
        <v>4</v>
      </c>
      <c r="D5386" t="s">
        <v>1447</v>
      </c>
      <c r="E5386" t="s">
        <v>1914</v>
      </c>
      <c r="F5386" t="s">
        <v>1748</v>
      </c>
      <c r="H5386" t="str">
        <f>IF(ISBLANK('Q 5'!E1392),"",IF('Q 5'!E1392="&lt;please select&gt;","",'Q 5'!E1392))</f>
        <v>18</v>
      </c>
    </row>
    <row r="5387" spans="1:11" x14ac:dyDescent="0.3">
      <c r="A5387" t="s">
        <v>1910</v>
      </c>
      <c r="B5387" t="s">
        <v>1912</v>
      </c>
      <c r="C5387">
        <v>5</v>
      </c>
      <c r="D5387" t="s">
        <v>1447</v>
      </c>
      <c r="E5387" t="s">
        <v>1914</v>
      </c>
      <c r="F5387" t="s">
        <v>1748</v>
      </c>
      <c r="H5387" t="str">
        <f>IF(ISBLANK('Q 5'!E1393),"",IF('Q 5'!E1393="&lt;please select&gt;","",'Q 5'!E1393))</f>
        <v>1</v>
      </c>
    </row>
    <row r="5388" spans="1:11" x14ac:dyDescent="0.3">
      <c r="A5388" t="s">
        <v>1910</v>
      </c>
      <c r="B5388" t="s">
        <v>1912</v>
      </c>
      <c r="C5388">
        <v>6</v>
      </c>
      <c r="D5388" t="s">
        <v>1447</v>
      </c>
      <c r="E5388" t="s">
        <v>1914</v>
      </c>
      <c r="F5388" t="s">
        <v>1748</v>
      </c>
      <c r="H5388" t="str">
        <f>IF(ISBLANK('Q 5'!E1394),"",IF('Q 5'!E1394="&lt;please select&gt;","",'Q 5'!E1394))</f>
        <v>1</v>
      </c>
    </row>
    <row r="5389" spans="1:11" x14ac:dyDescent="0.3">
      <c r="A5389" t="s">
        <v>1910</v>
      </c>
      <c r="B5389" t="s">
        <v>1912</v>
      </c>
      <c r="C5389">
        <v>7</v>
      </c>
      <c r="D5389" t="s">
        <v>1447</v>
      </c>
      <c r="E5389" t="s">
        <v>1914</v>
      </c>
      <c r="F5389" t="s">
        <v>1748</v>
      </c>
      <c r="H5389" t="str">
        <f>IF(ISBLANK('Q 5'!E1395),"",IF('Q 5'!E1395="&lt;please select&gt;","",'Q 5'!E1395))</f>
        <v>3</v>
      </c>
    </row>
    <row r="5390" spans="1:11" x14ac:dyDescent="0.3">
      <c r="A5390" t="s">
        <v>1910</v>
      </c>
      <c r="B5390" t="s">
        <v>1912</v>
      </c>
      <c r="C5390">
        <v>8</v>
      </c>
      <c r="D5390" t="s">
        <v>1447</v>
      </c>
      <c r="E5390" t="s">
        <v>1914</v>
      </c>
      <c r="F5390" t="s">
        <v>1748</v>
      </c>
      <c r="H5390" t="str">
        <f>IF(ISBLANK('Q 5'!E1396),"",IF('Q 5'!E1396="&lt;please select&gt;","",'Q 5'!E1396))</f>
        <v>2</v>
      </c>
    </row>
    <row r="5391" spans="1:11" x14ac:dyDescent="0.3">
      <c r="A5391" t="s">
        <v>1910</v>
      </c>
      <c r="B5391" t="s">
        <v>1912</v>
      </c>
      <c r="C5391">
        <v>9</v>
      </c>
      <c r="D5391" t="s">
        <v>1447</v>
      </c>
      <c r="E5391" t="s">
        <v>1914</v>
      </c>
      <c r="F5391" t="s">
        <v>1748</v>
      </c>
      <c r="H5391" t="str">
        <f>IF(ISBLANK('Q 5'!E1397),"",IF('Q 5'!E1397="&lt;please select&gt;","",'Q 5'!E1397))</f>
        <v>1</v>
      </c>
    </row>
    <row r="5392" spans="1:11" x14ac:dyDescent="0.3">
      <c r="A5392" t="s">
        <v>1910</v>
      </c>
      <c r="B5392" t="s">
        <v>1912</v>
      </c>
      <c r="C5392">
        <v>10</v>
      </c>
      <c r="D5392" t="s">
        <v>1447</v>
      </c>
      <c r="E5392" t="s">
        <v>1914</v>
      </c>
      <c r="F5392" t="s">
        <v>1748</v>
      </c>
      <c r="H5392" t="str">
        <f>IF(ISBLANK('Q 5'!E1398),"",IF('Q 5'!E1398="&lt;please select&gt;","",'Q 5'!E1398))</f>
        <v>1</v>
      </c>
    </row>
    <row r="5393" spans="1:8" x14ac:dyDescent="0.3">
      <c r="A5393" t="s">
        <v>1910</v>
      </c>
      <c r="B5393" t="s">
        <v>1912</v>
      </c>
      <c r="C5393">
        <v>11</v>
      </c>
      <c r="D5393" t="s">
        <v>1447</v>
      </c>
      <c r="E5393" t="s">
        <v>1914</v>
      </c>
      <c r="F5393" t="s">
        <v>1748</v>
      </c>
      <c r="H5393" t="str">
        <f>IF(ISBLANK('Q 5'!E1399),"",IF('Q 5'!E1399="&lt;please select&gt;","",'Q 5'!E1399))</f>
        <v>1</v>
      </c>
    </row>
    <row r="5394" spans="1:8" x14ac:dyDescent="0.3">
      <c r="A5394" t="s">
        <v>1910</v>
      </c>
      <c r="B5394" t="s">
        <v>1912</v>
      </c>
      <c r="C5394">
        <v>12</v>
      </c>
      <c r="D5394" t="s">
        <v>1447</v>
      </c>
      <c r="E5394" t="s">
        <v>1914</v>
      </c>
      <c r="F5394" t="s">
        <v>1748</v>
      </c>
      <c r="H5394" t="str">
        <f>IF(ISBLANK('Q 5'!E1400),"",IF('Q 5'!E1400="&lt;please select&gt;","",'Q 5'!E1400))</f>
        <v>1</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197027.931716602</v>
      </c>
    </row>
    <row r="5434" spans="1:9" x14ac:dyDescent="0.3">
      <c r="A5434" t="s">
        <v>1910</v>
      </c>
      <c r="B5434" t="s">
        <v>1912</v>
      </c>
      <c r="C5434">
        <v>2</v>
      </c>
      <c r="D5434" t="s">
        <v>1447</v>
      </c>
      <c r="E5434" t="s">
        <v>1915</v>
      </c>
      <c r="F5434" t="s">
        <v>1806</v>
      </c>
      <c r="I5434" t="str">
        <f>IF(ISBLANK('Q 5'!F1390),"",IF('Q 5'!F1390="&lt;please select&gt;","",'Q 5'!F1390))</f>
        <v>193458.498779798</v>
      </c>
    </row>
    <row r="5435" spans="1:9" x14ac:dyDescent="0.3">
      <c r="A5435" t="s">
        <v>1910</v>
      </c>
      <c r="B5435" t="s">
        <v>1912</v>
      </c>
      <c r="C5435">
        <v>3</v>
      </c>
      <c r="D5435" t="s">
        <v>1447</v>
      </c>
      <c r="E5435" t="s">
        <v>1915</v>
      </c>
      <c r="F5435" t="s">
        <v>1806</v>
      </c>
      <c r="I5435" t="str">
        <f>IF(ISBLANK('Q 5'!F1391),"",IF('Q 5'!F1391="&lt;please select&gt;","",'Q 5'!F1391))</f>
        <v>1029691.18394416</v>
      </c>
    </row>
    <row r="5436" spans="1:9" x14ac:dyDescent="0.3">
      <c r="A5436" t="s">
        <v>1910</v>
      </c>
      <c r="B5436" t="s">
        <v>1912</v>
      </c>
      <c r="C5436">
        <v>4</v>
      </c>
      <c r="D5436" t="s">
        <v>1447</v>
      </c>
      <c r="E5436" t="s">
        <v>1915</v>
      </c>
      <c r="F5436" t="s">
        <v>1806</v>
      </c>
      <c r="I5436" t="str">
        <f>IF(ISBLANK('Q 5'!F1392),"",IF('Q 5'!F1392="&lt;please select&gt;","",'Q 5'!F1392))</f>
        <v>1290680.24181385</v>
      </c>
    </row>
    <row r="5437" spans="1:9" x14ac:dyDescent="0.3">
      <c r="A5437" t="s">
        <v>1910</v>
      </c>
      <c r="B5437" t="s">
        <v>1912</v>
      </c>
      <c r="C5437">
        <v>5</v>
      </c>
      <c r="D5437" t="s">
        <v>1447</v>
      </c>
      <c r="E5437" t="s">
        <v>1915</v>
      </c>
      <c r="F5437" t="s">
        <v>1806</v>
      </c>
      <c r="I5437" t="str">
        <f>IF(ISBLANK('Q 5'!F1393),"",IF('Q 5'!F1393="&lt;please select&gt;","",'Q 5'!F1393))</f>
        <v>1504520.82522295</v>
      </c>
    </row>
    <row r="5438" spans="1:9" x14ac:dyDescent="0.3">
      <c r="A5438" t="s">
        <v>1910</v>
      </c>
      <c r="B5438" t="s">
        <v>1912</v>
      </c>
      <c r="C5438">
        <v>6</v>
      </c>
      <c r="D5438" t="s">
        <v>1447</v>
      </c>
      <c r="E5438" t="s">
        <v>1915</v>
      </c>
      <c r="F5438" t="s">
        <v>1806</v>
      </c>
      <c r="I5438" t="str">
        <f>IF(ISBLANK('Q 5'!F1394),"",IF('Q 5'!F1394="&lt;please select&gt;","",'Q 5'!F1394))</f>
        <v>1815732.0132364</v>
      </c>
    </row>
    <row r="5439" spans="1:9" x14ac:dyDescent="0.3">
      <c r="A5439" t="s">
        <v>1910</v>
      </c>
      <c r="B5439" t="s">
        <v>1912</v>
      </c>
      <c r="C5439">
        <v>7</v>
      </c>
      <c r="D5439" t="s">
        <v>1447</v>
      </c>
      <c r="E5439" t="s">
        <v>1915</v>
      </c>
      <c r="F5439" t="s">
        <v>1806</v>
      </c>
      <c r="I5439" t="str">
        <f>IF(ISBLANK('Q 5'!F1395),"",IF('Q 5'!F1395="&lt;please select&gt;","",'Q 5'!F1395))</f>
        <v>248807.584328485</v>
      </c>
    </row>
    <row r="5440" spans="1:9" x14ac:dyDescent="0.3">
      <c r="A5440" t="s">
        <v>1910</v>
      </c>
      <c r="B5440" t="s">
        <v>1912</v>
      </c>
      <c r="C5440">
        <v>8</v>
      </c>
      <c r="D5440" t="s">
        <v>1447</v>
      </c>
      <c r="E5440" t="s">
        <v>1915</v>
      </c>
      <c r="F5440" t="s">
        <v>1806</v>
      </c>
      <c r="I5440" t="str">
        <f>IF(ISBLANK('Q 5'!F1396),"",IF('Q 5'!F1396="&lt;please select&gt;","",'Q 5'!F1396))</f>
        <v>140793.999135645</v>
      </c>
    </row>
    <row r="5441" spans="1:9" x14ac:dyDescent="0.3">
      <c r="A5441" t="s">
        <v>1910</v>
      </c>
      <c r="B5441" t="s">
        <v>1912</v>
      </c>
      <c r="C5441">
        <v>9</v>
      </c>
      <c r="D5441" t="s">
        <v>1447</v>
      </c>
      <c r="E5441" t="s">
        <v>1915</v>
      </c>
      <c r="F5441" t="s">
        <v>1806</v>
      </c>
      <c r="I5441" t="str">
        <f>IF(ISBLANK('Q 5'!F1397),"",IF('Q 5'!F1397="&lt;please select&gt;","",'Q 5'!F1397))</f>
        <v>4339.42150313821</v>
      </c>
    </row>
    <row r="5442" spans="1:9" x14ac:dyDescent="0.3">
      <c r="A5442" t="s">
        <v>1910</v>
      </c>
      <c r="B5442" t="s">
        <v>1912</v>
      </c>
      <c r="C5442">
        <v>10</v>
      </c>
      <c r="D5442" t="s">
        <v>1447</v>
      </c>
      <c r="E5442" t="s">
        <v>1915</v>
      </c>
      <c r="F5442" t="s">
        <v>1806</v>
      </c>
      <c r="I5442" t="str">
        <f>IF(ISBLANK('Q 5'!F1398),"",IF('Q 5'!F1398="&lt;please select&gt;","",'Q 5'!F1398))</f>
        <v>2399.24123712</v>
      </c>
    </row>
    <row r="5443" spans="1:9" x14ac:dyDescent="0.3">
      <c r="A5443" t="s">
        <v>1910</v>
      </c>
      <c r="B5443" t="s">
        <v>1912</v>
      </c>
      <c r="C5443">
        <v>11</v>
      </c>
      <c r="D5443" t="s">
        <v>1447</v>
      </c>
      <c r="E5443" t="s">
        <v>1915</v>
      </c>
      <c r="F5443" t="s">
        <v>1806</v>
      </c>
      <c r="I5443" t="str">
        <f>IF(ISBLANK('Q 5'!F1399),"",IF('Q 5'!F1399="&lt;please select&gt;","",'Q 5'!F1399))</f>
        <v>5298.0018</v>
      </c>
    </row>
    <row r="5444" spans="1:9" x14ac:dyDescent="0.3">
      <c r="A5444" t="s">
        <v>1910</v>
      </c>
      <c r="B5444" t="s">
        <v>1912</v>
      </c>
      <c r="C5444">
        <v>12</v>
      </c>
      <c r="D5444" t="s">
        <v>1447</v>
      </c>
      <c r="E5444" t="s">
        <v>1915</v>
      </c>
      <c r="F5444" t="s">
        <v>1806</v>
      </c>
      <c r="I5444" t="str">
        <f>IF(ISBLANK('Q 5'!F1400),"",IF('Q 5'!F1400="&lt;please select&gt;","",'Q 5'!F1400))</f>
        <v>122.96</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0</v>
      </c>
    </row>
    <row r="5484" spans="1:9" x14ac:dyDescent="0.3">
      <c r="A5484" t="s">
        <v>1910</v>
      </c>
      <c r="B5484" t="s">
        <v>1912</v>
      </c>
      <c r="C5484">
        <v>2</v>
      </c>
      <c r="D5484" t="s">
        <v>1447</v>
      </c>
      <c r="E5484" t="s">
        <v>1916</v>
      </c>
      <c r="F5484" t="s">
        <v>1806</v>
      </c>
      <c r="I5484" t="str">
        <f>IF(ISBLANK('Q 5'!G1390),"",IF('Q 5'!G1390="&lt;please select&gt;","",'Q 5'!G1390))</f>
        <v>0</v>
      </c>
    </row>
    <row r="5485" spans="1:9" x14ac:dyDescent="0.3">
      <c r="A5485" t="s">
        <v>1910</v>
      </c>
      <c r="B5485" t="s">
        <v>1912</v>
      </c>
      <c r="C5485">
        <v>3</v>
      </c>
      <c r="D5485" t="s">
        <v>1447</v>
      </c>
      <c r="E5485" t="s">
        <v>1916</v>
      </c>
      <c r="F5485" t="s">
        <v>1806</v>
      </c>
      <c r="I5485" t="str">
        <f>IF(ISBLANK('Q 5'!G1391),"",IF('Q 5'!G1391="&lt;please select&gt;","",'Q 5'!G1391))</f>
        <v>0</v>
      </c>
    </row>
    <row r="5486" spans="1:9" x14ac:dyDescent="0.3">
      <c r="A5486" t="s">
        <v>1910</v>
      </c>
      <c r="B5486" t="s">
        <v>1912</v>
      </c>
      <c r="C5486">
        <v>4</v>
      </c>
      <c r="D5486" t="s">
        <v>1447</v>
      </c>
      <c r="E5486" t="s">
        <v>1916</v>
      </c>
      <c r="F5486" t="s">
        <v>1806</v>
      </c>
      <c r="I5486" t="str">
        <f>IF(ISBLANK('Q 5'!G1392),"",IF('Q 5'!G1392="&lt;please select&gt;","",'Q 5'!G1392))</f>
        <v>0</v>
      </c>
    </row>
    <row r="5487" spans="1:9" x14ac:dyDescent="0.3">
      <c r="A5487" t="s">
        <v>1910</v>
      </c>
      <c r="B5487" t="s">
        <v>1912</v>
      </c>
      <c r="C5487">
        <v>5</v>
      </c>
      <c r="D5487" t="s">
        <v>1447</v>
      </c>
      <c r="E5487" t="s">
        <v>1916</v>
      </c>
      <c r="F5487" t="s">
        <v>1806</v>
      </c>
      <c r="I5487" t="str">
        <f>IF(ISBLANK('Q 5'!G1393),"",IF('Q 5'!G1393="&lt;please select&gt;","",'Q 5'!G1393))</f>
        <v>0</v>
      </c>
    </row>
    <row r="5488" spans="1:9" x14ac:dyDescent="0.3">
      <c r="A5488" t="s">
        <v>1910</v>
      </c>
      <c r="B5488" t="s">
        <v>1912</v>
      </c>
      <c r="C5488">
        <v>6</v>
      </c>
      <c r="D5488" t="s">
        <v>1447</v>
      </c>
      <c r="E5488" t="s">
        <v>1916</v>
      </c>
      <c r="F5488" t="s">
        <v>1806</v>
      </c>
      <c r="I5488" t="str">
        <f>IF(ISBLANK('Q 5'!G1394),"",IF('Q 5'!G1394="&lt;please select&gt;","",'Q 5'!G1394))</f>
        <v>0</v>
      </c>
    </row>
    <row r="5489" spans="1:9" x14ac:dyDescent="0.3">
      <c r="A5489" t="s">
        <v>1910</v>
      </c>
      <c r="B5489" t="s">
        <v>1912</v>
      </c>
      <c r="C5489">
        <v>7</v>
      </c>
      <c r="D5489" t="s">
        <v>1447</v>
      </c>
      <c r="E5489" t="s">
        <v>1916</v>
      </c>
      <c r="F5489" t="s">
        <v>1806</v>
      </c>
      <c r="I5489" t="str">
        <f>IF(ISBLANK('Q 5'!G1395),"",IF('Q 5'!G1395="&lt;please select&gt;","",'Q 5'!G1395))</f>
        <v>0</v>
      </c>
    </row>
    <row r="5490" spans="1:9" x14ac:dyDescent="0.3">
      <c r="A5490" t="s">
        <v>1910</v>
      </c>
      <c r="B5490" t="s">
        <v>1912</v>
      </c>
      <c r="C5490">
        <v>8</v>
      </c>
      <c r="D5490" t="s">
        <v>1447</v>
      </c>
      <c r="E5490" t="s">
        <v>1916</v>
      </c>
      <c r="F5490" t="s">
        <v>1806</v>
      </c>
      <c r="I5490" t="str">
        <f>IF(ISBLANK('Q 5'!G1396),"",IF('Q 5'!G1396="&lt;please select&gt;","",'Q 5'!G1396))</f>
        <v>0</v>
      </c>
    </row>
    <row r="5491" spans="1:9" x14ac:dyDescent="0.3">
      <c r="A5491" t="s">
        <v>1910</v>
      </c>
      <c r="B5491" t="s">
        <v>1912</v>
      </c>
      <c r="C5491">
        <v>9</v>
      </c>
      <c r="D5491" t="s">
        <v>1447</v>
      </c>
      <c r="E5491" t="s">
        <v>1916</v>
      </c>
      <c r="F5491" t="s">
        <v>1806</v>
      </c>
      <c r="I5491" t="str">
        <f>IF(ISBLANK('Q 5'!G1397),"",IF('Q 5'!G1397="&lt;please select&gt;","",'Q 5'!G1397))</f>
        <v>0</v>
      </c>
    </row>
    <row r="5492" spans="1:9" x14ac:dyDescent="0.3">
      <c r="A5492" t="s">
        <v>1910</v>
      </c>
      <c r="B5492" t="s">
        <v>1912</v>
      </c>
      <c r="C5492">
        <v>10</v>
      </c>
      <c r="D5492" t="s">
        <v>1447</v>
      </c>
      <c r="E5492" t="s">
        <v>1916</v>
      </c>
      <c r="F5492" t="s">
        <v>1806</v>
      </c>
      <c r="I5492" t="str">
        <f>IF(ISBLANK('Q 5'!G1398),"",IF('Q 5'!G1398="&lt;please select&gt;","",'Q 5'!G1398))</f>
        <v>0</v>
      </c>
    </row>
    <row r="5493" spans="1:9" x14ac:dyDescent="0.3">
      <c r="A5493" t="s">
        <v>1910</v>
      </c>
      <c r="B5493" t="s">
        <v>1912</v>
      </c>
      <c r="C5493">
        <v>11</v>
      </c>
      <c r="D5493" t="s">
        <v>1447</v>
      </c>
      <c r="E5493" t="s">
        <v>1916</v>
      </c>
      <c r="F5493" t="s">
        <v>1806</v>
      </c>
      <c r="I5493" t="str">
        <f>IF(ISBLANK('Q 5'!G1399),"",IF('Q 5'!G1399="&lt;please select&gt;","",'Q 5'!G1399))</f>
        <v>0</v>
      </c>
    </row>
    <row r="5494" spans="1:9" x14ac:dyDescent="0.3">
      <c r="A5494" t="s">
        <v>1910</v>
      </c>
      <c r="B5494" t="s">
        <v>1912</v>
      </c>
      <c r="C5494">
        <v>12</v>
      </c>
      <c r="D5494" t="s">
        <v>1447</v>
      </c>
      <c r="E5494" t="s">
        <v>1916</v>
      </c>
      <c r="F5494" t="s">
        <v>1806</v>
      </c>
      <c r="I5494" t="str">
        <f>IF(ISBLANK('Q 5'!G1400),"",IF('Q 5'!G1400="&lt;please select&gt;","",'Q 5'!G1400))</f>
        <v>0</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179511.830562979</v>
      </c>
    </row>
    <row r="5534" spans="1:9" x14ac:dyDescent="0.3">
      <c r="A5534" t="s">
        <v>1910</v>
      </c>
      <c r="B5534" t="s">
        <v>1912</v>
      </c>
      <c r="C5534">
        <v>2</v>
      </c>
      <c r="D5534" t="s">
        <v>1447</v>
      </c>
      <c r="E5534" t="s">
        <v>1917</v>
      </c>
      <c r="F5534" t="s">
        <v>1806</v>
      </c>
      <c r="I5534" t="str">
        <f>IF(ISBLANK('Q 5'!H1390),"",IF('Q 5'!H1390="&lt;please select&gt;","",'Q 5'!H1390))</f>
        <v>6882148.69119802</v>
      </c>
    </row>
    <row r="5535" spans="1:9" x14ac:dyDescent="0.3">
      <c r="A5535" t="s">
        <v>1910</v>
      </c>
      <c r="B5535" t="s">
        <v>1912</v>
      </c>
      <c r="C5535">
        <v>3</v>
      </c>
      <c r="D5535" t="s">
        <v>1447</v>
      </c>
      <c r="E5535" t="s">
        <v>1917</v>
      </c>
      <c r="F5535" t="s">
        <v>1806</v>
      </c>
      <c r="I5535" t="str">
        <f>IF(ISBLANK('Q 5'!H1391),"",IF('Q 5'!H1391="&lt;please select&gt;","",'Q 5'!H1391))</f>
        <v>3252621.19692022</v>
      </c>
    </row>
    <row r="5536" spans="1:9" x14ac:dyDescent="0.3">
      <c r="A5536" t="s">
        <v>1910</v>
      </c>
      <c r="B5536" t="s">
        <v>1912</v>
      </c>
      <c r="C5536">
        <v>4</v>
      </c>
      <c r="D5536" t="s">
        <v>1447</v>
      </c>
      <c r="E5536" t="s">
        <v>1917</v>
      </c>
      <c r="F5536" t="s">
        <v>1806</v>
      </c>
      <c r="I5536" t="str">
        <f>IF(ISBLANK('Q 5'!H1392),"",IF('Q 5'!H1392="&lt;please select&gt;","",'Q 5'!H1392))</f>
        <v>304891.375750953</v>
      </c>
    </row>
    <row r="5537" spans="1:9" x14ac:dyDescent="0.3">
      <c r="A5537" t="s">
        <v>1910</v>
      </c>
      <c r="B5537" t="s">
        <v>1912</v>
      </c>
      <c r="C5537">
        <v>5</v>
      </c>
      <c r="D5537" t="s">
        <v>1447</v>
      </c>
      <c r="E5537" t="s">
        <v>1917</v>
      </c>
      <c r="F5537" t="s">
        <v>1806</v>
      </c>
      <c r="I5537" t="str">
        <f>IF(ISBLANK('Q 5'!H1393),"",IF('Q 5'!H1393="&lt;please select&gt;","",'Q 5'!H1393))</f>
        <v>375523.207479312</v>
      </c>
    </row>
    <row r="5538" spans="1:9" x14ac:dyDescent="0.3">
      <c r="A5538" t="s">
        <v>1910</v>
      </c>
      <c r="B5538" t="s">
        <v>1912</v>
      </c>
      <c r="C5538">
        <v>6</v>
      </c>
      <c r="D5538" t="s">
        <v>1447</v>
      </c>
      <c r="E5538" t="s">
        <v>1917</v>
      </c>
      <c r="F5538" t="s">
        <v>1806</v>
      </c>
      <c r="I5538" t="str">
        <f>IF(ISBLANK('Q 5'!H1394),"",IF('Q 5'!H1394="&lt;please select&gt;","",'Q 5'!H1394))</f>
        <v>6290.253470697</v>
      </c>
    </row>
    <row r="5539" spans="1:9" x14ac:dyDescent="0.3">
      <c r="A5539" t="s">
        <v>1910</v>
      </c>
      <c r="B5539" t="s">
        <v>1912</v>
      </c>
      <c r="C5539">
        <v>7</v>
      </c>
      <c r="D5539" t="s">
        <v>1447</v>
      </c>
      <c r="E5539" t="s">
        <v>1917</v>
      </c>
      <c r="F5539" t="s">
        <v>1806</v>
      </c>
      <c r="I5539" t="str">
        <f>IF(ISBLANK('Q 5'!H1395),"",IF('Q 5'!H1395="&lt;please select&gt;","",'Q 5'!H1395))</f>
        <v>1903791.75444923</v>
      </c>
    </row>
    <row r="5540" spans="1:9" x14ac:dyDescent="0.3">
      <c r="A5540" t="s">
        <v>1910</v>
      </c>
      <c r="B5540" t="s">
        <v>1912</v>
      </c>
      <c r="C5540">
        <v>8</v>
      </c>
      <c r="D5540" t="s">
        <v>1447</v>
      </c>
      <c r="E5540" t="s">
        <v>1917</v>
      </c>
      <c r="F5540" t="s">
        <v>1806</v>
      </c>
      <c r="I5540" t="str">
        <f>IF(ISBLANK('Q 5'!H1396),"",IF('Q 5'!H1396="&lt;please select&gt;","",'Q 5'!H1396))</f>
        <v>918366.031495983</v>
      </c>
    </row>
    <row r="5541" spans="1:9" x14ac:dyDescent="0.3">
      <c r="A5541" t="s">
        <v>1910</v>
      </c>
      <c r="B5541" t="s">
        <v>1912</v>
      </c>
      <c r="C5541">
        <v>9</v>
      </c>
      <c r="D5541" t="s">
        <v>1447</v>
      </c>
      <c r="E5541" t="s">
        <v>1917</v>
      </c>
      <c r="F5541" t="s">
        <v>1806</v>
      </c>
      <c r="I5541" t="str">
        <f>IF(ISBLANK('Q 5'!H1397),"",IF('Q 5'!H1397="&lt;please select&gt;","",'Q 5'!H1397))</f>
        <v>79783.2758910582</v>
      </c>
    </row>
    <row r="5542" spans="1:9" x14ac:dyDescent="0.3">
      <c r="A5542" t="s">
        <v>1910</v>
      </c>
      <c r="B5542" t="s">
        <v>1912</v>
      </c>
      <c r="C5542">
        <v>10</v>
      </c>
      <c r="D5542" t="s">
        <v>1447</v>
      </c>
      <c r="E5542" t="s">
        <v>1917</v>
      </c>
      <c r="F5542" t="s">
        <v>1806</v>
      </c>
      <c r="I5542" t="str">
        <f>IF(ISBLANK('Q 5'!H1398),"",IF('Q 5'!H1398="&lt;please select&gt;","",'Q 5'!H1398))</f>
        <v>19411.8498922495</v>
      </c>
    </row>
    <row r="5543" spans="1:9" x14ac:dyDescent="0.3">
      <c r="A5543" t="s">
        <v>1910</v>
      </c>
      <c r="B5543" t="s">
        <v>1912</v>
      </c>
      <c r="C5543">
        <v>11</v>
      </c>
      <c r="D5543" t="s">
        <v>1447</v>
      </c>
      <c r="E5543" t="s">
        <v>1917</v>
      </c>
      <c r="F5543" t="s">
        <v>1806</v>
      </c>
      <c r="I5543" t="str">
        <f>IF(ISBLANK('Q 5'!H1399),"",IF('Q 5'!H1399="&lt;please select&gt;","",'Q 5'!H1399))</f>
        <v>224219.903320831</v>
      </c>
    </row>
    <row r="5544" spans="1:9" x14ac:dyDescent="0.3">
      <c r="A5544" t="s">
        <v>1910</v>
      </c>
      <c r="B5544" t="s">
        <v>1912</v>
      </c>
      <c r="C5544">
        <v>12</v>
      </c>
      <c r="D5544" t="s">
        <v>1447</v>
      </c>
      <c r="E5544" t="s">
        <v>1917</v>
      </c>
      <c r="F5544" t="s">
        <v>1806</v>
      </c>
      <c r="I5544" t="str">
        <f>IF(ISBLANK('Q 5'!H1400),"",IF('Q 5'!H1400="&lt;please select&gt;","",'Q 5'!H1400))</f>
        <v>80116.4228401549</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1875.0216391</v>
      </c>
    </row>
    <row r="5584" spans="1:9" x14ac:dyDescent="0.3">
      <c r="A5584" t="s">
        <v>1910</v>
      </c>
      <c r="B5584" t="s">
        <v>1912</v>
      </c>
      <c r="C5584">
        <v>2</v>
      </c>
      <c r="D5584" t="s">
        <v>1447</v>
      </c>
      <c r="E5584" t="s">
        <v>1918</v>
      </c>
      <c r="F5584" t="s">
        <v>1806</v>
      </c>
      <c r="I5584" t="str">
        <f>IF(ISBLANK('Q 5'!I1390),"",IF('Q 5'!I1390="&lt;please select&gt;","",'Q 5'!I1390))</f>
        <v>1841.3736080214</v>
      </c>
    </row>
    <row r="5585" spans="1:9" x14ac:dyDescent="0.3">
      <c r="A5585" t="s">
        <v>1910</v>
      </c>
      <c r="B5585" t="s">
        <v>1912</v>
      </c>
      <c r="C5585">
        <v>3</v>
      </c>
      <c r="D5585" t="s">
        <v>1447</v>
      </c>
      <c r="E5585" t="s">
        <v>1918</v>
      </c>
      <c r="F5585" t="s">
        <v>1806</v>
      </c>
      <c r="I5585" t="str">
        <f>IF(ISBLANK('Q 5'!I1391),"",IF('Q 5'!I1391="&lt;please select&gt;","",'Q 5'!I1391))</f>
        <v>9871.48102558859</v>
      </c>
    </row>
    <row r="5586" spans="1:9" x14ac:dyDescent="0.3">
      <c r="A5586" t="s">
        <v>1910</v>
      </c>
      <c r="B5586" t="s">
        <v>1912</v>
      </c>
      <c r="C5586">
        <v>4</v>
      </c>
      <c r="D5586" t="s">
        <v>1447</v>
      </c>
      <c r="E5586" t="s">
        <v>1918</v>
      </c>
      <c r="F5586" t="s">
        <v>1806</v>
      </c>
      <c r="I5586" t="str">
        <f>IF(ISBLANK('Q 5'!I1392),"",IF('Q 5'!I1392="&lt;please select&gt;","",'Q 5'!I1392))</f>
        <v>9479.45247190018</v>
      </c>
    </row>
    <row r="5587" spans="1:9" x14ac:dyDescent="0.3">
      <c r="A5587" t="s">
        <v>1910</v>
      </c>
      <c r="B5587" t="s">
        <v>1912</v>
      </c>
      <c r="C5587">
        <v>5</v>
      </c>
      <c r="D5587" t="s">
        <v>1447</v>
      </c>
      <c r="E5587" t="s">
        <v>1918</v>
      </c>
      <c r="F5587" t="s">
        <v>1806</v>
      </c>
      <c r="I5587" t="str">
        <f>IF(ISBLANK('Q 5'!I1393),"",IF('Q 5'!I1393="&lt;please select&gt;","",'Q 5'!I1393))</f>
        <v>15455.3858973229</v>
      </c>
    </row>
    <row r="5588" spans="1:9" x14ac:dyDescent="0.3">
      <c r="A5588" t="s">
        <v>1910</v>
      </c>
      <c r="B5588" t="s">
        <v>1912</v>
      </c>
      <c r="C5588">
        <v>6</v>
      </c>
      <c r="D5588" t="s">
        <v>1447</v>
      </c>
      <c r="E5588" t="s">
        <v>1918</v>
      </c>
      <c r="F5588" t="s">
        <v>1806</v>
      </c>
      <c r="I5588" t="str">
        <f>IF(ISBLANK('Q 5'!I1394),"",IF('Q 5'!I1394="&lt;please select&gt;","",'Q 5'!I1394))</f>
        <v>22505.2048</v>
      </c>
    </row>
    <row r="5589" spans="1:9" x14ac:dyDescent="0.3">
      <c r="A5589" t="s">
        <v>1910</v>
      </c>
      <c r="B5589" t="s">
        <v>1912</v>
      </c>
      <c r="C5589">
        <v>7</v>
      </c>
      <c r="D5589" t="s">
        <v>1447</v>
      </c>
      <c r="E5589" t="s">
        <v>1918</v>
      </c>
      <c r="F5589" t="s">
        <v>1806</v>
      </c>
      <c r="I5589" t="str">
        <f>IF(ISBLANK('Q 5'!I1395),"",IF('Q 5'!I1395="&lt;please select&gt;","",'Q 5'!I1395))</f>
        <v>2830.65004798835</v>
      </c>
    </row>
    <row r="5590" spans="1:9" x14ac:dyDescent="0.3">
      <c r="A5590" t="s">
        <v>1910</v>
      </c>
      <c r="B5590" t="s">
        <v>1912</v>
      </c>
      <c r="C5590">
        <v>8</v>
      </c>
      <c r="D5590" t="s">
        <v>1447</v>
      </c>
      <c r="E5590" t="s">
        <v>1918</v>
      </c>
      <c r="F5590" t="s">
        <v>1806</v>
      </c>
      <c r="I5590" t="str">
        <f>IF(ISBLANK('Q 5'!I1396),"",IF('Q 5'!I1396="&lt;please select&gt;","",'Q 5'!I1396))</f>
        <v>1665.12670601446</v>
      </c>
    </row>
    <row r="5591" spans="1:9" x14ac:dyDescent="0.3">
      <c r="A5591" t="s">
        <v>1910</v>
      </c>
      <c r="B5591" t="s">
        <v>1912</v>
      </c>
      <c r="C5591">
        <v>9</v>
      </c>
      <c r="D5591" t="s">
        <v>1447</v>
      </c>
      <c r="E5591" t="s">
        <v>1918</v>
      </c>
      <c r="F5591" t="s">
        <v>1806</v>
      </c>
      <c r="I5591" t="str">
        <f>IF(ISBLANK('Q 5'!I1397),"",IF('Q 5'!I1397="&lt;please select&gt;","",'Q 5'!I1397))</f>
        <v>47.114567309476</v>
      </c>
    </row>
    <row r="5592" spans="1:9" x14ac:dyDescent="0.3">
      <c r="A5592" t="s">
        <v>1910</v>
      </c>
      <c r="B5592" t="s">
        <v>1912</v>
      </c>
      <c r="C5592">
        <v>10</v>
      </c>
      <c r="D5592" t="s">
        <v>1447</v>
      </c>
      <c r="E5592" t="s">
        <v>1918</v>
      </c>
      <c r="F5592" t="s">
        <v>1806</v>
      </c>
      <c r="I5592" t="str">
        <f>IF(ISBLANK('Q 5'!I1398),"",IF('Q 5'!I1398="&lt;please select&gt;","",'Q 5'!I1398))</f>
        <v>43.9421472</v>
      </c>
    </row>
    <row r="5593" spans="1:9" x14ac:dyDescent="0.3">
      <c r="A5593" t="s">
        <v>1910</v>
      </c>
      <c r="B5593" t="s">
        <v>1912</v>
      </c>
      <c r="C5593">
        <v>11</v>
      </c>
      <c r="D5593" t="s">
        <v>1447</v>
      </c>
      <c r="E5593" t="s">
        <v>1918</v>
      </c>
      <c r="F5593" t="s">
        <v>1806</v>
      </c>
      <c r="I5593" t="str">
        <f>IF(ISBLANK('Q 5'!I1399),"",IF('Q 5'!I1399="&lt;please select&gt;","",'Q 5'!I1399))</f>
        <v>52.980018</v>
      </c>
    </row>
    <row r="5594" spans="1:9" x14ac:dyDescent="0.3">
      <c r="A5594" t="s">
        <v>1910</v>
      </c>
      <c r="B5594" t="s">
        <v>1912</v>
      </c>
      <c r="C5594">
        <v>12</v>
      </c>
      <c r="D5594" t="s">
        <v>1447</v>
      </c>
      <c r="E5594" t="s">
        <v>1918</v>
      </c>
      <c r="F5594" t="s">
        <v>1806</v>
      </c>
      <c r="I5594" t="str">
        <f>IF(ISBLANK('Q 5'!I1400),"",IF('Q 5'!I1400="&lt;please select&gt;","",'Q 5'!I1400))</f>
        <v>1.2296</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0</v>
      </c>
    </row>
    <row r="5634" spans="1:9" x14ac:dyDescent="0.3">
      <c r="A5634" t="s">
        <v>1910</v>
      </c>
      <c r="B5634" t="s">
        <v>1912</v>
      </c>
      <c r="C5634">
        <v>2</v>
      </c>
      <c r="D5634" t="s">
        <v>1447</v>
      </c>
      <c r="E5634" t="s">
        <v>1919</v>
      </c>
      <c r="F5634" t="s">
        <v>1806</v>
      </c>
      <c r="I5634" t="str">
        <f>IF(ISBLANK('Q 5'!J1390),"",IF('Q 5'!J1390="&lt;please select&gt;","",'Q 5'!J1390))</f>
        <v>0</v>
      </c>
    </row>
    <row r="5635" spans="1:9" x14ac:dyDescent="0.3">
      <c r="A5635" t="s">
        <v>1910</v>
      </c>
      <c r="B5635" t="s">
        <v>1912</v>
      </c>
      <c r="C5635">
        <v>3</v>
      </c>
      <c r="D5635" t="s">
        <v>1447</v>
      </c>
      <c r="E5635" t="s">
        <v>1919</v>
      </c>
      <c r="F5635" t="s">
        <v>1806</v>
      </c>
      <c r="I5635" t="str">
        <f>IF(ISBLANK('Q 5'!J1391),"",IF('Q 5'!J1391="&lt;please select&gt;","",'Q 5'!J1391))</f>
        <v>0</v>
      </c>
    </row>
    <row r="5636" spans="1:9" x14ac:dyDescent="0.3">
      <c r="A5636" t="s">
        <v>1910</v>
      </c>
      <c r="B5636" t="s">
        <v>1912</v>
      </c>
      <c r="C5636">
        <v>4</v>
      </c>
      <c r="D5636" t="s">
        <v>1447</v>
      </c>
      <c r="E5636" t="s">
        <v>1919</v>
      </c>
      <c r="F5636" t="s">
        <v>1806</v>
      </c>
      <c r="I5636" t="str">
        <f>IF(ISBLANK('Q 5'!J1392),"",IF('Q 5'!J1392="&lt;please select&gt;","",'Q 5'!J1392))</f>
        <v>0</v>
      </c>
    </row>
    <row r="5637" spans="1:9" x14ac:dyDescent="0.3">
      <c r="A5637" t="s">
        <v>1910</v>
      </c>
      <c r="B5637" t="s">
        <v>1912</v>
      </c>
      <c r="C5637">
        <v>5</v>
      </c>
      <c r="D5637" t="s">
        <v>1447</v>
      </c>
      <c r="E5637" t="s">
        <v>1919</v>
      </c>
      <c r="F5637" t="s">
        <v>1806</v>
      </c>
      <c r="I5637" t="str">
        <f>IF(ISBLANK('Q 5'!J1393),"",IF('Q 5'!J1393="&lt;please select&gt;","",'Q 5'!J1393))</f>
        <v>0</v>
      </c>
    </row>
    <row r="5638" spans="1:9" x14ac:dyDescent="0.3">
      <c r="A5638" t="s">
        <v>1910</v>
      </c>
      <c r="B5638" t="s">
        <v>1912</v>
      </c>
      <c r="C5638">
        <v>6</v>
      </c>
      <c r="D5638" t="s">
        <v>1447</v>
      </c>
      <c r="E5638" t="s">
        <v>1919</v>
      </c>
      <c r="F5638" t="s">
        <v>1806</v>
      </c>
      <c r="I5638" t="str">
        <f>IF(ISBLANK('Q 5'!J1394),"",IF('Q 5'!J1394="&lt;please select&gt;","",'Q 5'!J1394))</f>
        <v>0</v>
      </c>
    </row>
    <row r="5639" spans="1:9" x14ac:dyDescent="0.3">
      <c r="A5639" t="s">
        <v>1910</v>
      </c>
      <c r="B5639" t="s">
        <v>1912</v>
      </c>
      <c r="C5639">
        <v>7</v>
      </c>
      <c r="D5639" t="s">
        <v>1447</v>
      </c>
      <c r="E5639" t="s">
        <v>1919</v>
      </c>
      <c r="F5639" t="s">
        <v>1806</v>
      </c>
      <c r="I5639" t="str">
        <f>IF(ISBLANK('Q 5'!J1395),"",IF('Q 5'!J1395="&lt;please select&gt;","",'Q 5'!J1395))</f>
        <v>0</v>
      </c>
    </row>
    <row r="5640" spans="1:9" x14ac:dyDescent="0.3">
      <c r="A5640" t="s">
        <v>1910</v>
      </c>
      <c r="B5640" t="s">
        <v>1912</v>
      </c>
      <c r="C5640">
        <v>8</v>
      </c>
      <c r="D5640" t="s">
        <v>1447</v>
      </c>
      <c r="E5640" t="s">
        <v>1919</v>
      </c>
      <c r="F5640" t="s">
        <v>1806</v>
      </c>
      <c r="I5640" t="str">
        <f>IF(ISBLANK('Q 5'!J1396),"",IF('Q 5'!J1396="&lt;please select&gt;","",'Q 5'!J1396))</f>
        <v>0</v>
      </c>
    </row>
    <row r="5641" spans="1:9" x14ac:dyDescent="0.3">
      <c r="A5641" t="s">
        <v>1910</v>
      </c>
      <c r="B5641" t="s">
        <v>1912</v>
      </c>
      <c r="C5641">
        <v>9</v>
      </c>
      <c r="D5641" t="s">
        <v>1447</v>
      </c>
      <c r="E5641" t="s">
        <v>1919</v>
      </c>
      <c r="F5641" t="s">
        <v>1806</v>
      </c>
      <c r="I5641" t="str">
        <f>IF(ISBLANK('Q 5'!J1397),"",IF('Q 5'!J1397="&lt;please select&gt;","",'Q 5'!J1397))</f>
        <v>0</v>
      </c>
    </row>
    <row r="5642" spans="1:9" x14ac:dyDescent="0.3">
      <c r="A5642" t="s">
        <v>1910</v>
      </c>
      <c r="B5642" t="s">
        <v>1912</v>
      </c>
      <c r="C5642">
        <v>10</v>
      </c>
      <c r="D5642" t="s">
        <v>1447</v>
      </c>
      <c r="E5642" t="s">
        <v>1919</v>
      </c>
      <c r="F5642" t="s">
        <v>1806</v>
      </c>
      <c r="I5642" t="str">
        <f>IF(ISBLANK('Q 5'!J1398),"",IF('Q 5'!J1398="&lt;please select&gt;","",'Q 5'!J1398))</f>
        <v>0</v>
      </c>
    </row>
    <row r="5643" spans="1:9" x14ac:dyDescent="0.3">
      <c r="A5643" t="s">
        <v>1910</v>
      </c>
      <c r="B5643" t="s">
        <v>1912</v>
      </c>
      <c r="C5643">
        <v>11</v>
      </c>
      <c r="D5643" t="s">
        <v>1447</v>
      </c>
      <c r="E5643" t="s">
        <v>1919</v>
      </c>
      <c r="F5643" t="s">
        <v>1806</v>
      </c>
      <c r="I5643" t="str">
        <f>IF(ISBLANK('Q 5'!J1399),"",IF('Q 5'!J1399="&lt;please select&gt;","",'Q 5'!J1399))</f>
        <v>0</v>
      </c>
    </row>
    <row r="5644" spans="1:9" x14ac:dyDescent="0.3">
      <c r="A5644" t="s">
        <v>1910</v>
      </c>
      <c r="B5644" t="s">
        <v>1912</v>
      </c>
      <c r="C5644">
        <v>12</v>
      </c>
      <c r="D5644" t="s">
        <v>1447</v>
      </c>
      <c r="E5644" t="s">
        <v>1919</v>
      </c>
      <c r="F5644" t="s">
        <v>1806</v>
      </c>
      <c r="I5644" t="str">
        <f>IF(ISBLANK('Q 5'!J1400),"",IF('Q 5'!J1400="&lt;please select&gt;","",'Q 5'!J1400))</f>
        <v>0</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1798.27245877759</v>
      </c>
    </row>
    <row r="5684" spans="1:9" x14ac:dyDescent="0.3">
      <c r="A5684" t="s">
        <v>1910</v>
      </c>
      <c r="B5684" t="s">
        <v>1912</v>
      </c>
      <c r="C5684">
        <v>2</v>
      </c>
      <c r="D5684" t="s">
        <v>1447</v>
      </c>
      <c r="E5684" t="s">
        <v>1920</v>
      </c>
      <c r="F5684" t="s">
        <v>1806</v>
      </c>
      <c r="I5684" t="str">
        <f>IF(ISBLANK('Q 5'!K1390),"",IF('Q 5'!K1390="&lt;please select&gt;","",'Q 5'!K1390))</f>
        <v>60549.0291289483</v>
      </c>
    </row>
    <row r="5685" spans="1:9" x14ac:dyDescent="0.3">
      <c r="A5685" t="s">
        <v>1910</v>
      </c>
      <c r="B5685" t="s">
        <v>1912</v>
      </c>
      <c r="C5685">
        <v>3</v>
      </c>
      <c r="D5685" t="s">
        <v>1447</v>
      </c>
      <c r="E5685" t="s">
        <v>1920</v>
      </c>
      <c r="F5685" t="s">
        <v>1806</v>
      </c>
      <c r="I5685" t="str">
        <f>IF(ISBLANK('Q 5'!K1391),"",IF('Q 5'!K1391="&lt;please select&gt;","",'Q 5'!K1391))</f>
        <v>36180.8772511421</v>
      </c>
    </row>
    <row r="5686" spans="1:9" x14ac:dyDescent="0.3">
      <c r="A5686" t="s">
        <v>1910</v>
      </c>
      <c r="B5686" t="s">
        <v>1912</v>
      </c>
      <c r="C5686">
        <v>4</v>
      </c>
      <c r="D5686" t="s">
        <v>1447</v>
      </c>
      <c r="E5686" t="s">
        <v>1920</v>
      </c>
      <c r="F5686" t="s">
        <v>1806</v>
      </c>
      <c r="I5686" t="str">
        <f>IF(ISBLANK('Q 5'!K1392),"",IF('Q 5'!K1392="&lt;please select&gt;","",'Q 5'!K1392))</f>
        <v>3781.56276942508</v>
      </c>
    </row>
    <row r="5687" spans="1:9" x14ac:dyDescent="0.3">
      <c r="A5687" t="s">
        <v>1910</v>
      </c>
      <c r="B5687" t="s">
        <v>1912</v>
      </c>
      <c r="C5687">
        <v>5</v>
      </c>
      <c r="D5687" t="s">
        <v>1447</v>
      </c>
      <c r="E5687" t="s">
        <v>1920</v>
      </c>
      <c r="F5687" t="s">
        <v>1806</v>
      </c>
      <c r="I5687" t="str">
        <f>IF(ISBLANK('Q 5'!K1393),"",IF('Q 5'!K1393="&lt;please select&gt;","",'Q 5'!K1393))</f>
        <v>4486.16796671749</v>
      </c>
    </row>
    <row r="5688" spans="1:9" x14ac:dyDescent="0.3">
      <c r="A5688" t="s">
        <v>1910</v>
      </c>
      <c r="B5688" t="s">
        <v>1912</v>
      </c>
      <c r="C5688">
        <v>6</v>
      </c>
      <c r="D5688" t="s">
        <v>1447</v>
      </c>
      <c r="E5688" t="s">
        <v>1920</v>
      </c>
      <c r="F5688" t="s">
        <v>1806</v>
      </c>
      <c r="I5688" t="str">
        <f>IF(ISBLANK('Q 5'!K1394),"",IF('Q 5'!K1394="&lt;please select&gt;","",'Q 5'!K1394))</f>
        <v>113.44009866</v>
      </c>
    </row>
    <row r="5689" spans="1:9" x14ac:dyDescent="0.3">
      <c r="A5689" t="s">
        <v>1910</v>
      </c>
      <c r="B5689" t="s">
        <v>1912</v>
      </c>
      <c r="C5689">
        <v>7</v>
      </c>
      <c r="D5689" t="s">
        <v>1447</v>
      </c>
      <c r="E5689" t="s">
        <v>1920</v>
      </c>
      <c r="F5689" t="s">
        <v>1806</v>
      </c>
      <c r="I5689" t="str">
        <f>IF(ISBLANK('Q 5'!K1395),"",IF('Q 5'!K1395="&lt;please select&gt;","",'Q 5'!K1395))</f>
        <v>6482.29443146068</v>
      </c>
    </row>
    <row r="5690" spans="1:9" x14ac:dyDescent="0.3">
      <c r="A5690" t="s">
        <v>1910</v>
      </c>
      <c r="B5690" t="s">
        <v>1912</v>
      </c>
      <c r="C5690">
        <v>8</v>
      </c>
      <c r="D5690" t="s">
        <v>1447</v>
      </c>
      <c r="E5690" t="s">
        <v>1920</v>
      </c>
      <c r="F5690" t="s">
        <v>1806</v>
      </c>
      <c r="I5690" t="str">
        <f>IF(ISBLANK('Q 5'!K1396),"",IF('Q 5'!K1396="&lt;please select&gt;","",'Q 5'!K1396))</f>
        <v>3217.48927410034</v>
      </c>
    </row>
    <row r="5691" spans="1:9" x14ac:dyDescent="0.3">
      <c r="A5691" t="s">
        <v>1910</v>
      </c>
      <c r="B5691" t="s">
        <v>1912</v>
      </c>
      <c r="C5691">
        <v>9</v>
      </c>
      <c r="D5691" t="s">
        <v>1447</v>
      </c>
      <c r="E5691" t="s">
        <v>1920</v>
      </c>
      <c r="F5691" t="s">
        <v>1806</v>
      </c>
      <c r="I5691" t="str">
        <f>IF(ISBLANK('Q 5'!K1397),"",IF('Q 5'!K1397="&lt;please select&gt;","",'Q 5'!K1397))</f>
        <v>342.072087618989</v>
      </c>
    </row>
    <row r="5692" spans="1:9" x14ac:dyDescent="0.3">
      <c r="A5692" t="s">
        <v>1910</v>
      </c>
      <c r="B5692" t="s">
        <v>1912</v>
      </c>
      <c r="C5692">
        <v>10</v>
      </c>
      <c r="D5692" t="s">
        <v>1447</v>
      </c>
      <c r="E5692" t="s">
        <v>1920</v>
      </c>
      <c r="F5692" t="s">
        <v>1806</v>
      </c>
      <c r="I5692" t="str">
        <f>IF(ISBLANK('Q 5'!K1398),"",IF('Q 5'!K1398="&lt;please select&gt;","",'Q 5'!K1398))</f>
        <v>350.07844711</v>
      </c>
    </row>
    <row r="5693" spans="1:9" x14ac:dyDescent="0.3">
      <c r="A5693" t="s">
        <v>1910</v>
      </c>
      <c r="B5693" t="s">
        <v>1912</v>
      </c>
      <c r="C5693">
        <v>11</v>
      </c>
      <c r="D5693" t="s">
        <v>1447</v>
      </c>
      <c r="E5693" t="s">
        <v>1920</v>
      </c>
      <c r="F5693" t="s">
        <v>1806</v>
      </c>
      <c r="I5693" t="str">
        <f>IF(ISBLANK('Q 5'!K1399),"",IF('Q 5'!K1399="&lt;please select&gt;","",'Q 5'!K1399))</f>
        <v>2497.14696235</v>
      </c>
    </row>
    <row r="5694" spans="1:9" x14ac:dyDescent="0.3">
      <c r="A5694" t="s">
        <v>1910</v>
      </c>
      <c r="B5694" t="s">
        <v>1912</v>
      </c>
      <c r="C5694">
        <v>12</v>
      </c>
      <c r="D5694" t="s">
        <v>1447</v>
      </c>
      <c r="E5694" t="s">
        <v>1920</v>
      </c>
      <c r="F5694" t="s">
        <v>1806</v>
      </c>
      <c r="I5694" t="str">
        <f>IF(ISBLANK('Q 5'!K1400),"",IF('Q 5'!K1400="&lt;please select&gt;","",'Q 5'!K1400))</f>
        <v>1210.8854769</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538401.623030004</v>
      </c>
    </row>
    <row r="5734" spans="1:11" x14ac:dyDescent="0.3">
      <c r="A5734" t="s">
        <v>1923</v>
      </c>
      <c r="B5734" t="s">
        <v>1924</v>
      </c>
      <c r="C5734">
        <v>0</v>
      </c>
      <c r="D5734" t="s">
        <v>1447</v>
      </c>
      <c r="E5734" t="s">
        <v>1924</v>
      </c>
      <c r="F5734" t="s">
        <v>1759</v>
      </c>
      <c r="K5734" t="str">
        <f>IF(ISBLANK('Q 5'!$I$1449),"",IF('Q 5'!$I$1449="&lt;please select&gt;","",'Q 5'!$I$1449))</f>
        <v>No</v>
      </c>
    </row>
    <row r="5735" spans="1:11" x14ac:dyDescent="0.3">
      <c r="A5735" t="s">
        <v>1923</v>
      </c>
      <c r="B5735" t="s">
        <v>1925</v>
      </c>
      <c r="C5735">
        <v>1</v>
      </c>
      <c r="D5735" t="s">
        <v>1447</v>
      </c>
      <c r="E5735" t="s">
        <v>1926</v>
      </c>
      <c r="F5735" t="s">
        <v>1737</v>
      </c>
      <c r="K5735" t="str">
        <f>IF(ISBLANK('Q 5'!C1452),"",IF('Q 5'!C1452="&lt;please select&gt;","",'Q 5'!C1452))</f>
        <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0</v>
      </c>
    </row>
    <row r="5746" spans="1:9" x14ac:dyDescent="0.3">
      <c r="A5746" t="s">
        <v>1928</v>
      </c>
      <c r="B5746" t="s">
        <v>1929</v>
      </c>
      <c r="C5746">
        <v>2</v>
      </c>
      <c r="D5746" t="s">
        <v>1447</v>
      </c>
      <c r="E5746" t="s">
        <v>1930</v>
      </c>
      <c r="F5746" t="s">
        <v>1748</v>
      </c>
      <c r="H5746" s="165" t="str">
        <f>IF(ISBLANK('Q 5'!E1463),"",IF('Q 5'!E1463="&lt;please select&gt;","",'Q 5'!E1463))</f>
        <v>2</v>
      </c>
    </row>
    <row r="5747" spans="1:9" x14ac:dyDescent="0.3">
      <c r="A5747" t="s">
        <v>1928</v>
      </c>
      <c r="B5747" t="s">
        <v>1929</v>
      </c>
      <c r="C5747">
        <v>3</v>
      </c>
      <c r="D5747" t="s">
        <v>1447</v>
      </c>
      <c r="E5747" t="s">
        <v>1930</v>
      </c>
      <c r="F5747" t="s">
        <v>1748</v>
      </c>
      <c r="H5747" s="165" t="str">
        <f>IF(ISBLANK('Q 5'!E1464),"",IF('Q 5'!E1464="&lt;please select&gt;","",'Q 5'!E1464))</f>
        <v>0</v>
      </c>
    </row>
    <row r="5748" spans="1:9" x14ac:dyDescent="0.3">
      <c r="A5748" t="s">
        <v>1928</v>
      </c>
      <c r="B5748" t="s">
        <v>1929</v>
      </c>
      <c r="C5748">
        <v>1</v>
      </c>
      <c r="D5748" t="s">
        <v>1447</v>
      </c>
      <c r="E5748" t="s">
        <v>1931</v>
      </c>
      <c r="F5748" t="s">
        <v>1806</v>
      </c>
      <c r="I5748" s="166" t="str">
        <f>IF(ISBLANK('Q 5'!G1462),"",IF('Q 5'!G1462="&lt;please select&gt;","",'Q 5'!G1462))</f>
        <v>0</v>
      </c>
    </row>
    <row r="5749" spans="1:9" x14ac:dyDescent="0.3">
      <c r="A5749" t="s">
        <v>1928</v>
      </c>
      <c r="B5749" t="s">
        <v>1929</v>
      </c>
      <c r="C5749">
        <v>2</v>
      </c>
      <c r="D5749" t="s">
        <v>1447</v>
      </c>
      <c r="E5749" t="s">
        <v>1931</v>
      </c>
      <c r="F5749" t="s">
        <v>1806</v>
      </c>
      <c r="I5749" s="166" t="str">
        <f>IF(ISBLANK('Q 5'!G1463),"",IF('Q 5'!G1463="&lt;please select&gt;","",'Q 5'!G1463))</f>
        <v>0</v>
      </c>
    </row>
    <row r="5750" spans="1:9" x14ac:dyDescent="0.3">
      <c r="A5750" t="s">
        <v>1928</v>
      </c>
      <c r="B5750" t="s">
        <v>1929</v>
      </c>
      <c r="C5750">
        <v>3</v>
      </c>
      <c r="D5750" t="s">
        <v>1447</v>
      </c>
      <c r="E5750" t="s">
        <v>1931</v>
      </c>
      <c r="F5750" t="s">
        <v>1806</v>
      </c>
      <c r="I5750" s="166" t="str">
        <f>IF(ISBLANK('Q 5'!G1464),"",IF('Q 5'!G1464="&lt;please select&gt;","",'Q 5'!G1464))</f>
        <v>0</v>
      </c>
    </row>
    <row r="5751" spans="1:9" x14ac:dyDescent="0.3">
      <c r="A5751" t="s">
        <v>1932</v>
      </c>
      <c r="B5751" t="s">
        <v>1933</v>
      </c>
      <c r="C5751">
        <v>1</v>
      </c>
      <c r="D5751" t="s">
        <v>1447</v>
      </c>
      <c r="E5751" t="s">
        <v>1934</v>
      </c>
      <c r="F5751" t="s">
        <v>1806</v>
      </c>
      <c r="I5751" t="str">
        <f>IF(ISBLANK('Q 5'!G1472),"",IF('Q 5'!G1472="&lt;please select&gt;","",'Q 5'!G1472))</f>
        <v>164326</v>
      </c>
    </row>
    <row r="5752" spans="1:9" x14ac:dyDescent="0.3">
      <c r="A5752" t="s">
        <v>1932</v>
      </c>
      <c r="B5752" t="s">
        <v>1933</v>
      </c>
      <c r="C5752">
        <v>2</v>
      </c>
      <c r="D5752" t="s">
        <v>1447</v>
      </c>
      <c r="E5752" t="s">
        <v>1934</v>
      </c>
      <c r="F5752" t="s">
        <v>1806</v>
      </c>
      <c r="I5752" t="str">
        <f>IF(ISBLANK('Q 5'!G1473),"",IF('Q 5'!G1473="&lt;please select&gt;","",'Q 5'!G1473))</f>
        <v>3621</v>
      </c>
    </row>
    <row r="5753" spans="1:9" x14ac:dyDescent="0.3">
      <c r="A5753" t="s">
        <v>1932</v>
      </c>
      <c r="B5753" t="s">
        <v>1933</v>
      </c>
      <c r="C5753">
        <v>3</v>
      </c>
      <c r="D5753" t="s">
        <v>1447</v>
      </c>
      <c r="E5753" t="s">
        <v>1934</v>
      </c>
      <c r="F5753" t="s">
        <v>1806</v>
      </c>
      <c r="I5753" t="str">
        <f>IF(ISBLANK('Q 5'!G1474),"",IF('Q 5'!G1474="&lt;please select&gt;","",'Q 5'!G1474))</f>
        <v>372371</v>
      </c>
    </row>
    <row r="5754" spans="1:9" x14ac:dyDescent="0.3">
      <c r="A5754" t="s">
        <v>1932</v>
      </c>
      <c r="B5754" t="s">
        <v>1933</v>
      </c>
      <c r="C5754">
        <v>4</v>
      </c>
      <c r="D5754" t="s">
        <v>1447</v>
      </c>
      <c r="E5754" t="s">
        <v>1934</v>
      </c>
      <c r="F5754" t="s">
        <v>1806</v>
      </c>
      <c r="I5754" t="str">
        <f>IF(ISBLANK('Q 5'!G1475),"",IF('Q 5'!G1475="&lt;please select&gt;","",'Q 5'!G1475))</f>
        <v>0</v>
      </c>
    </row>
    <row r="5755" spans="1:9" x14ac:dyDescent="0.3">
      <c r="A5755" t="s">
        <v>1932</v>
      </c>
      <c r="B5755" t="s">
        <v>1933</v>
      </c>
      <c r="C5755">
        <v>5</v>
      </c>
      <c r="D5755" t="s">
        <v>1447</v>
      </c>
      <c r="E5755" t="s">
        <v>1934</v>
      </c>
      <c r="F5755" t="s">
        <v>1806</v>
      </c>
      <c r="I5755" t="str">
        <f>IF(ISBLANK('Q 5'!G1476),"",IF('Q 5'!G1476="&lt;please select&gt;","",'Q 5'!G1476))</f>
        <v>812</v>
      </c>
    </row>
    <row r="5756" spans="1:9" x14ac:dyDescent="0.3">
      <c r="A5756" t="s">
        <v>1932</v>
      </c>
      <c r="B5756" t="s">
        <v>1935</v>
      </c>
      <c r="C5756">
        <v>0</v>
      </c>
      <c r="D5756" t="s">
        <v>1447</v>
      </c>
      <c r="E5756" t="s">
        <v>1935</v>
      </c>
      <c r="F5756" t="s">
        <v>1748</v>
      </c>
      <c r="H5756" s="167" t="str">
        <f>IF(ISBLANK('Q 5'!$G$1479),"",IF('Q 5'!$G$1479="&lt;please select&gt;","",'Q 5'!$G$1479))</f>
        <v>4</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0</v>
      </c>
    </row>
    <row r="5759" spans="1:9" x14ac:dyDescent="0.3">
      <c r="A5759" t="s">
        <v>1936</v>
      </c>
      <c r="B5759" t="s">
        <v>1939</v>
      </c>
      <c r="C5759">
        <v>0</v>
      </c>
      <c r="D5759" t="s">
        <v>1447</v>
      </c>
      <c r="E5759" t="s">
        <v>1939</v>
      </c>
      <c r="F5759" t="s">
        <v>1806</v>
      </c>
      <c r="I5759" s="165" t="str">
        <f>IF(ISBLANK('Q 5'!$G$1486),"",IF('Q 5'!$G$1486="&lt;please select&gt;","",'Q 5'!$G$1486))</f>
        <v>0</v>
      </c>
    </row>
    <row r="5760" spans="1:9" x14ac:dyDescent="0.3">
      <c r="A5760" t="s">
        <v>1940</v>
      </c>
      <c r="B5760" t="s">
        <v>1941</v>
      </c>
      <c r="C5760">
        <v>1</v>
      </c>
      <c r="D5760" t="s">
        <v>1447</v>
      </c>
      <c r="E5760" t="s">
        <v>1942</v>
      </c>
      <c r="F5760" t="s">
        <v>1748</v>
      </c>
      <c r="H5760" s="165" t="str">
        <f>IF(ISBLANK('Q 5'!H1493),"",IF('Q 5'!H1493="&lt;please select&gt;","",'Q 5'!H1493))</f>
        <v>2</v>
      </c>
    </row>
    <row r="5761" spans="1:11" x14ac:dyDescent="0.3">
      <c r="A5761" t="s">
        <v>1940</v>
      </c>
      <c r="B5761" t="s">
        <v>1941</v>
      </c>
      <c r="C5761">
        <v>2</v>
      </c>
      <c r="D5761" t="s">
        <v>1447</v>
      </c>
      <c r="E5761" t="s">
        <v>1942</v>
      </c>
      <c r="F5761" t="s">
        <v>1748</v>
      </c>
      <c r="H5761" s="165" t="str">
        <f>IF(ISBLANK('Q 5'!H1494),"",IF('Q 5'!H1494="&lt;please select&gt;","",'Q 5'!H1494))</f>
        <v>3</v>
      </c>
    </row>
    <row r="5762" spans="1:11" x14ac:dyDescent="0.3">
      <c r="A5762" t="s">
        <v>1940</v>
      </c>
      <c r="B5762" t="s">
        <v>1941</v>
      </c>
      <c r="C5762">
        <v>3</v>
      </c>
      <c r="D5762" t="s">
        <v>1447</v>
      </c>
      <c r="E5762" t="s">
        <v>1942</v>
      </c>
      <c r="F5762" t="s">
        <v>1748</v>
      </c>
      <c r="H5762" s="165" t="str">
        <f>IF(ISBLANK('Q 5'!H1495),"",IF('Q 5'!H1495="&lt;please select&gt;","",'Q 5'!H1495))</f>
        <v>0</v>
      </c>
    </row>
    <row r="5763" spans="1:11" x14ac:dyDescent="0.3">
      <c r="A5763" t="s">
        <v>1940</v>
      </c>
      <c r="B5763" t="s">
        <v>1941</v>
      </c>
      <c r="C5763">
        <v>4</v>
      </c>
      <c r="D5763" t="s">
        <v>1447</v>
      </c>
      <c r="E5763" t="s">
        <v>1942</v>
      </c>
      <c r="F5763" t="s">
        <v>1748</v>
      </c>
      <c r="H5763" s="165" t="str">
        <f>IF(ISBLANK('Q 5'!H1496),"",IF('Q 5'!H1496="&lt;please select&gt;","",'Q 5'!H1496))</f>
        <v>4</v>
      </c>
    </row>
    <row r="5764" spans="1:11" x14ac:dyDescent="0.3">
      <c r="A5764" t="s">
        <v>1943</v>
      </c>
      <c r="B5764" t="s">
        <v>1944</v>
      </c>
      <c r="C5764">
        <v>0</v>
      </c>
      <c r="D5764" t="s">
        <v>1447</v>
      </c>
      <c r="E5764" t="s">
        <v>1944</v>
      </c>
      <c r="F5764" t="s">
        <v>1748</v>
      </c>
      <c r="H5764" s="165" t="str">
        <f>IF(ISBLANK('Q 5'!$C$1500),"",IF('Q 5'!$C$1500="&lt;please select&gt;","",'Q 5'!$C$1500))</f>
        <v>0</v>
      </c>
    </row>
    <row r="5765" spans="1:11" x14ac:dyDescent="0.3">
      <c r="A5765" t="s">
        <v>1943</v>
      </c>
      <c r="B5765" t="s">
        <v>1945</v>
      </c>
      <c r="C5765">
        <v>0</v>
      </c>
      <c r="D5765" t="s">
        <v>1447</v>
      </c>
      <c r="E5765" t="s">
        <v>1945</v>
      </c>
      <c r="F5765" t="s">
        <v>1748</v>
      </c>
      <c r="H5765" s="165" t="str">
        <f>IF(ISBLANK('Q 5'!$G$1500),"",IF('Q 5'!$G$1500="&lt;please select&gt;","",'Q 5'!$G$1500))</f>
        <v>0</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5</v>
      </c>
    </row>
    <row r="5778" spans="1:11" x14ac:dyDescent="0.3">
      <c r="A5778" t="s">
        <v>1951</v>
      </c>
      <c r="B5778" t="s">
        <v>1952</v>
      </c>
      <c r="C5778">
        <v>2</v>
      </c>
      <c r="D5778" t="s">
        <v>1447</v>
      </c>
      <c r="E5778" t="s">
        <v>1953</v>
      </c>
      <c r="F5778" t="s">
        <v>1748</v>
      </c>
      <c r="H5778" s="165" t="str">
        <f>IF(ISBLANK('Q 6'!F9),"",IF('Q 6'!F9="&lt;please select&gt;","",'Q 6'!F9))</f>
        <v>0</v>
      </c>
    </row>
    <row r="5779" spans="1:11" x14ac:dyDescent="0.3">
      <c r="A5779" t="s">
        <v>1951</v>
      </c>
      <c r="B5779" t="s">
        <v>1952</v>
      </c>
      <c r="C5779">
        <v>3</v>
      </c>
      <c r="D5779" t="s">
        <v>1447</v>
      </c>
      <c r="E5779" t="s">
        <v>1953</v>
      </c>
      <c r="F5779" t="s">
        <v>1748</v>
      </c>
      <c r="H5779" s="165" t="str">
        <f>IF(ISBLANK('Q 6'!F10),"",IF('Q 6'!F10="&lt;please select&gt;","",'Q 6'!F10))</f>
        <v>1</v>
      </c>
    </row>
    <row r="5780" spans="1:11" x14ac:dyDescent="0.3">
      <c r="A5780" t="s">
        <v>1951</v>
      </c>
      <c r="B5780" t="s">
        <v>1952</v>
      </c>
      <c r="C5780">
        <v>4</v>
      </c>
      <c r="D5780" t="s">
        <v>1447</v>
      </c>
      <c r="E5780" t="s">
        <v>1953</v>
      </c>
      <c r="F5780" t="s">
        <v>1748</v>
      </c>
      <c r="H5780" s="165" t="str">
        <f>IF(ISBLANK('Q 6'!F11),"",IF('Q 6'!F11="&lt;please select&gt;","",'Q 6'!F11))</f>
        <v>0</v>
      </c>
    </row>
    <row r="5781" spans="1:11" x14ac:dyDescent="0.3">
      <c r="A5781" t="s">
        <v>1951</v>
      </c>
      <c r="B5781" t="s">
        <v>1952</v>
      </c>
      <c r="C5781">
        <v>3</v>
      </c>
      <c r="D5781" t="s">
        <v>1447</v>
      </c>
      <c r="E5781" t="s">
        <v>1954</v>
      </c>
      <c r="F5781" t="s">
        <v>1741</v>
      </c>
      <c r="G5781" t="str">
        <f>IF(ISBLANK('Q 6'!G10),"",IF('Q 6'!G10="&lt;please select&gt;","",'Q 6'!G10))</f>
        <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1</v>
      </c>
    </row>
    <row r="5784" spans="1:11" x14ac:dyDescent="0.3">
      <c r="A5784" t="s">
        <v>1951</v>
      </c>
      <c r="B5784" t="s">
        <v>1952</v>
      </c>
      <c r="C5784">
        <v>2</v>
      </c>
      <c r="D5784" t="s">
        <v>1447</v>
      </c>
      <c r="E5784" t="s">
        <v>1955</v>
      </c>
      <c r="F5784" t="s">
        <v>1748</v>
      </c>
      <c r="H5784" s="165" t="str">
        <f>IF(ISBLANK('Q 6'!H9),"",IF('Q 6'!H9="&lt;please select&gt;","",'Q 6'!H9))</f>
        <v>0</v>
      </c>
    </row>
    <row r="5785" spans="1:11" x14ac:dyDescent="0.3">
      <c r="A5785" t="s">
        <v>1951</v>
      </c>
      <c r="B5785" t="s">
        <v>1952</v>
      </c>
      <c r="C5785">
        <v>3</v>
      </c>
      <c r="D5785" t="s">
        <v>1447</v>
      </c>
      <c r="E5785" t="s">
        <v>1955</v>
      </c>
      <c r="F5785" t="s">
        <v>1748</v>
      </c>
      <c r="H5785" s="165" t="str">
        <f>IF(ISBLANK('Q 6'!H10),"",IF('Q 6'!H10="&lt;please select&gt;","",'Q 6'!H10))</f>
        <v>0</v>
      </c>
    </row>
    <row r="5786" spans="1:11" x14ac:dyDescent="0.3">
      <c r="A5786" t="s">
        <v>1951</v>
      </c>
      <c r="B5786" t="s">
        <v>1952</v>
      </c>
      <c r="C5786">
        <v>4</v>
      </c>
      <c r="D5786" t="s">
        <v>1447</v>
      </c>
      <c r="E5786" t="s">
        <v>1955</v>
      </c>
      <c r="F5786" t="s">
        <v>1748</v>
      </c>
      <c r="H5786" s="165" t="str">
        <f>IF(ISBLANK('Q 6'!H11),"",IF('Q 6'!H11="&lt;please select&gt;","",'Q 6'!H11))</f>
        <v>0</v>
      </c>
    </row>
    <row r="5787" spans="1:11" x14ac:dyDescent="0.3">
      <c r="A5787" t="s">
        <v>1951</v>
      </c>
      <c r="B5787" t="s">
        <v>1952</v>
      </c>
      <c r="C5787">
        <v>3</v>
      </c>
      <c r="D5787" t="s">
        <v>1447</v>
      </c>
      <c r="E5787" t="s">
        <v>1956</v>
      </c>
      <c r="F5787" t="s">
        <v>1741</v>
      </c>
      <c r="G5787" t="str">
        <f>IF(ISBLANK('Q 6'!I10),"",IF('Q 6'!I10="&lt;please select&gt;","",'Q 6'!I10))</f>
        <v/>
      </c>
    </row>
    <row r="5788" spans="1:11" x14ac:dyDescent="0.3">
      <c r="A5788" t="s">
        <v>1951</v>
      </c>
      <c r="B5788" t="s">
        <v>1952</v>
      </c>
      <c r="C5788">
        <v>4</v>
      </c>
      <c r="D5788" t="s">
        <v>1447</v>
      </c>
      <c r="E5788" t="s">
        <v>1956</v>
      </c>
      <c r="F5788" t="s">
        <v>1741</v>
      </c>
      <c r="G5788" t="str">
        <f>IF(ISBLANK('Q 6'!I11),"",IF('Q 6'!I11="&lt;please select&gt;","",'Q 6'!I11))</f>
        <v>0</v>
      </c>
    </row>
    <row r="5789" spans="1:11" x14ac:dyDescent="0.3">
      <c r="A5789" t="s">
        <v>1951</v>
      </c>
      <c r="B5789" t="s">
        <v>1957</v>
      </c>
      <c r="C5789">
        <v>1</v>
      </c>
      <c r="D5789" t="s">
        <v>1447</v>
      </c>
      <c r="E5789" t="s">
        <v>1958</v>
      </c>
      <c r="F5789" t="s">
        <v>1737</v>
      </c>
      <c r="K5789" t="str">
        <f>IF(ISBLANK('Q 6'!C17),"",IF('Q 6'!C17="&lt;please select&gt;","",'Q 6'!C17))</f>
        <v>1a - Combustion of fuels in installations, where only commercial standard fuels as defined in Commission Implementing Regulation (EU) 2018/2066 are used, or where natural gas is used in category A or B installations.</v>
      </c>
    </row>
    <row r="5790" spans="1:11" x14ac:dyDescent="0.3">
      <c r="A5790" t="s">
        <v>1951</v>
      </c>
      <c r="B5790" t="s">
        <v>1957</v>
      </c>
      <c r="C5790">
        <v>2</v>
      </c>
      <c r="D5790" t="s">
        <v>1447</v>
      </c>
      <c r="E5790" t="s">
        <v>1958</v>
      </c>
      <c r="F5790" t="s">
        <v>1737</v>
      </c>
      <c r="K5790" t="str">
        <f>IF(ISBLANK('Q 6'!C18),"",IF('Q 6'!C18="&lt;please select&gt;","",'Q 6'!C18))</f>
        <v>1b - Combustion of fuels in installations, without restrictions</v>
      </c>
    </row>
    <row r="5791" spans="1:11" x14ac:dyDescent="0.3">
      <c r="A5791" t="s">
        <v>1951</v>
      </c>
      <c r="B5791" t="s">
        <v>1957</v>
      </c>
      <c r="C5791">
        <v>3</v>
      </c>
      <c r="D5791" t="s">
        <v>1447</v>
      </c>
      <c r="E5791" t="s">
        <v>1958</v>
      </c>
      <c r="F5791" t="s">
        <v>1737</v>
      </c>
      <c r="K5791" t="str">
        <f>IF(ISBLANK('Q 6'!C19),"",IF('Q 6'!C19="&lt;please select&gt;","",'Q 6'!C19))</f>
        <v>2 - Refining of mineral oil</v>
      </c>
    </row>
    <row r="5792" spans="1:11" x14ac:dyDescent="0.3">
      <c r="A5792" t="s">
        <v>1951</v>
      </c>
      <c r="B5792" t="s">
        <v>1957</v>
      </c>
      <c r="C5792">
        <v>4</v>
      </c>
      <c r="D5792" t="s">
        <v>1447</v>
      </c>
      <c r="E5792" t="s">
        <v>1958</v>
      </c>
      <c r="F5792" t="s">
        <v>1737</v>
      </c>
      <c r="K5792" t="str">
        <f>IF(ISBLANK('Q 6'!C20),"",IF('Q 6'!C20="&lt;please select&gt;","",'Q 6'!C20))</f>
        <v xml:space="preserve">3 - Production of coke </v>
      </c>
    </row>
    <row r="5793" spans="1:11" x14ac:dyDescent="0.3">
      <c r="A5793" t="s">
        <v>1951</v>
      </c>
      <c r="B5793" t="s">
        <v>1957</v>
      </c>
      <c r="C5793">
        <v>5</v>
      </c>
      <c r="D5793" t="s">
        <v>1447</v>
      </c>
      <c r="E5793" t="s">
        <v>1958</v>
      </c>
      <c r="F5793" t="s">
        <v>1737</v>
      </c>
      <c r="K5793" t="str">
        <f>IF(ISBLANK('Q 6'!C21),"",IF('Q 6'!C21="&lt;please select&gt;","",'Q 6'!C21))</f>
        <v xml:space="preserve">3 - Metal ore (including sulphide ore) roasting or sintering, including pelletisation </v>
      </c>
    </row>
    <row r="5794" spans="1:11" x14ac:dyDescent="0.3">
      <c r="A5794" t="s">
        <v>1951</v>
      </c>
      <c r="B5794" t="s">
        <v>1957</v>
      </c>
      <c r="C5794">
        <v>6</v>
      </c>
      <c r="D5794" t="s">
        <v>1447</v>
      </c>
      <c r="E5794" t="s">
        <v>1958</v>
      </c>
      <c r="F5794" t="s">
        <v>1737</v>
      </c>
      <c r="K5794" t="str">
        <f>IF(ISBLANK('Q 6'!C22),"",IF('Q 6'!C22="&lt;please select&gt;","",'Q 6'!C22))</f>
        <v>3 - Production of pig iron or steel (primary or secondary fusion) including continuous casting</v>
      </c>
    </row>
    <row r="5795" spans="1:11" x14ac:dyDescent="0.3">
      <c r="A5795" t="s">
        <v>1951</v>
      </c>
      <c r="B5795" t="s">
        <v>1957</v>
      </c>
      <c r="C5795">
        <v>7</v>
      </c>
      <c r="D5795" t="s">
        <v>1447</v>
      </c>
      <c r="E5795" t="s">
        <v>1958</v>
      </c>
      <c r="F5795" t="s">
        <v>1737</v>
      </c>
      <c r="K5795" t="str">
        <f>IF(ISBLANK('Q 6'!C23),"",IF('Q 6'!C23="&lt;please select&gt;","",'Q 6'!C23))</f>
        <v xml:space="preserve">4 - Production or processing of ferrous metals (including ferro-alloys) </v>
      </c>
    </row>
    <row r="5796" spans="1:11" x14ac:dyDescent="0.3">
      <c r="A5796" t="s">
        <v>1951</v>
      </c>
      <c r="B5796" t="s">
        <v>1957</v>
      </c>
      <c r="C5796">
        <v>8</v>
      </c>
      <c r="D5796" t="s">
        <v>1447</v>
      </c>
      <c r="E5796" t="s">
        <v>1958</v>
      </c>
      <c r="F5796" t="s">
        <v>1737</v>
      </c>
      <c r="K5796" t="str">
        <f>IF(ISBLANK('Q 6'!C24),"",IF('Q 6'!C24="&lt;please select&gt;","",'Q 6'!C24))</f>
        <v xml:space="preserve">4 - Production or processing of ferrous metals (including ferro-alloys) </v>
      </c>
    </row>
    <row r="5797" spans="1:11" x14ac:dyDescent="0.3">
      <c r="A5797" t="s">
        <v>1951</v>
      </c>
      <c r="B5797" t="s">
        <v>1957</v>
      </c>
      <c r="C5797">
        <v>9</v>
      </c>
      <c r="D5797" t="s">
        <v>1447</v>
      </c>
      <c r="E5797" t="s">
        <v>1958</v>
      </c>
      <c r="F5797" t="s">
        <v>1737</v>
      </c>
      <c r="K5797" t="str">
        <f>IF(ISBLANK('Q 6'!C25),"",IF('Q 6'!C25="&lt;please select&gt;","",'Q 6'!C25))</f>
        <v xml:space="preserve">4 - Production or processing of non-ferrous metals, including production of alloys </v>
      </c>
    </row>
    <row r="5798" spans="1:11" x14ac:dyDescent="0.3">
      <c r="A5798" t="s">
        <v>1951</v>
      </c>
      <c r="B5798" t="s">
        <v>1957</v>
      </c>
      <c r="C5798">
        <v>10</v>
      </c>
      <c r="D5798" t="s">
        <v>1447</v>
      </c>
      <c r="E5798" t="s">
        <v>1958</v>
      </c>
      <c r="F5798" t="s">
        <v>1737</v>
      </c>
      <c r="K5798" t="str">
        <f>IF(ISBLANK('Q 6'!C26),"",IF('Q 6'!C26="&lt;please select&gt;","",'Q 6'!C26))</f>
        <v xml:space="preserve">6 - Production of cement clinker </v>
      </c>
    </row>
    <row r="5799" spans="1:11" x14ac:dyDescent="0.3">
      <c r="A5799" t="s">
        <v>1951</v>
      </c>
      <c r="B5799" t="s">
        <v>1957</v>
      </c>
      <c r="C5799">
        <v>11</v>
      </c>
      <c r="D5799" t="s">
        <v>1447</v>
      </c>
      <c r="E5799" t="s">
        <v>1958</v>
      </c>
      <c r="F5799" t="s">
        <v>1737</v>
      </c>
      <c r="K5799" t="str">
        <f>IF(ISBLANK('Q 6'!C27),"",IF('Q 6'!C27="&lt;please select&gt;","",'Q 6'!C27))</f>
        <v xml:space="preserve">6 - Production of lime or calcination of dolomite or magnesite </v>
      </c>
    </row>
    <row r="5800" spans="1:11" x14ac:dyDescent="0.3">
      <c r="A5800" t="s">
        <v>1951</v>
      </c>
      <c r="B5800" t="s">
        <v>1957</v>
      </c>
      <c r="C5800">
        <v>12</v>
      </c>
      <c r="D5800" t="s">
        <v>1447</v>
      </c>
      <c r="E5800" t="s">
        <v>1958</v>
      </c>
      <c r="F5800" t="s">
        <v>1737</v>
      </c>
      <c r="K5800" t="str">
        <f>IF(ISBLANK('Q 6'!C28),"",IF('Q 6'!C28="&lt;please select&gt;","",'Q 6'!C28))</f>
        <v xml:space="preserve">6 - Manufacture of glass including glass fibre </v>
      </c>
    </row>
    <row r="5801" spans="1:11" x14ac:dyDescent="0.3">
      <c r="A5801" t="s">
        <v>1951</v>
      </c>
      <c r="B5801" t="s">
        <v>1957</v>
      </c>
      <c r="C5801">
        <v>13</v>
      </c>
      <c r="D5801" t="s">
        <v>1447</v>
      </c>
      <c r="E5801" t="s">
        <v>1958</v>
      </c>
      <c r="F5801" t="s">
        <v>1737</v>
      </c>
      <c r="K5801" t="str">
        <f>IF(ISBLANK('Q 6'!C29),"",IF('Q 6'!C29="&lt;please select&gt;","",'Q 6'!C29))</f>
        <v xml:space="preserve">6 - Manufacture of ceramic products by firing </v>
      </c>
    </row>
    <row r="5802" spans="1:11" x14ac:dyDescent="0.3">
      <c r="A5802" t="s">
        <v>1951</v>
      </c>
      <c r="B5802" t="s">
        <v>1957</v>
      </c>
      <c r="C5802">
        <v>14</v>
      </c>
      <c r="D5802" t="s">
        <v>1447</v>
      </c>
      <c r="E5802" t="s">
        <v>1958</v>
      </c>
      <c r="F5802" t="s">
        <v>1737</v>
      </c>
      <c r="K5802" t="str">
        <f>IF(ISBLANK('Q 6'!C30),"",IF('Q 6'!C30="&lt;please select&gt;","",'Q 6'!C30))</f>
        <v xml:space="preserve">6 - Manufacture of mineral wool insulation material </v>
      </c>
    </row>
    <row r="5803" spans="1:11" x14ac:dyDescent="0.3">
      <c r="A5803" t="s">
        <v>1951</v>
      </c>
      <c r="B5803" t="s">
        <v>1957</v>
      </c>
      <c r="C5803">
        <v>15</v>
      </c>
      <c r="D5803" t="s">
        <v>1447</v>
      </c>
      <c r="E5803" t="s">
        <v>1958</v>
      </c>
      <c r="F5803" t="s">
        <v>1737</v>
      </c>
      <c r="K5803" t="str">
        <f>IF(ISBLANK('Q 6'!C31),"",IF('Q 6'!C31="&lt;please select&gt;","",'Q 6'!C31))</f>
        <v>6 - Drying or calcination of gypsum or production of plaster boards and other gypsum products</v>
      </c>
    </row>
    <row r="5804" spans="1:11" x14ac:dyDescent="0.3">
      <c r="A5804" t="s">
        <v>1951</v>
      </c>
      <c r="B5804" t="s">
        <v>1957</v>
      </c>
      <c r="C5804">
        <v>16</v>
      </c>
      <c r="D5804" t="s">
        <v>1447</v>
      </c>
      <c r="E5804" t="s">
        <v>1958</v>
      </c>
      <c r="F5804" t="s">
        <v>1737</v>
      </c>
      <c r="K5804" t="str">
        <f>IF(ISBLANK('Q 6'!C32),"",IF('Q 6'!C32="&lt;please select&gt;","",'Q 6'!C32))</f>
        <v xml:space="preserve">7 - Production of pulp from timber or other fibrous materials </v>
      </c>
    </row>
    <row r="5805" spans="1:11" x14ac:dyDescent="0.3">
      <c r="A5805" t="s">
        <v>1951</v>
      </c>
      <c r="B5805" t="s">
        <v>1957</v>
      </c>
      <c r="C5805">
        <v>17</v>
      </c>
      <c r="D5805" t="s">
        <v>1447</v>
      </c>
      <c r="E5805" t="s">
        <v>1958</v>
      </c>
      <c r="F5805" t="s">
        <v>1737</v>
      </c>
      <c r="K5805" t="str">
        <f>IF(ISBLANK('Q 6'!C33),"",IF('Q 6'!C33="&lt;please select&gt;","",'Q 6'!C33))</f>
        <v>7 - Production of paper or cardboard</v>
      </c>
    </row>
    <row r="5806" spans="1:11" x14ac:dyDescent="0.3">
      <c r="A5806" t="s">
        <v>1951</v>
      </c>
      <c r="B5806" t="s">
        <v>1957</v>
      </c>
      <c r="C5806">
        <v>18</v>
      </c>
      <c r="D5806" t="s">
        <v>1447</v>
      </c>
      <c r="E5806" t="s">
        <v>1958</v>
      </c>
      <c r="F5806" t="s">
        <v>1737</v>
      </c>
      <c r="K5806" t="str">
        <f>IF(ISBLANK('Q 6'!C34),"",IF('Q 6'!C34="&lt;please select&gt;","",'Q 6'!C34))</f>
        <v xml:space="preserve">8 - Production of carbon black </v>
      </c>
    </row>
    <row r="5807" spans="1:11" x14ac:dyDescent="0.3">
      <c r="A5807" t="s">
        <v>1951</v>
      </c>
      <c r="B5807" t="s">
        <v>1957</v>
      </c>
      <c r="C5807">
        <v>19</v>
      </c>
      <c r="D5807" t="s">
        <v>1447</v>
      </c>
      <c r="E5807" t="s">
        <v>1958</v>
      </c>
      <c r="F5807" t="s">
        <v>1737</v>
      </c>
      <c r="K5807" t="str">
        <f>IF(ISBLANK('Q 6'!C35),"",IF('Q 6'!C35="&lt;please select&gt;","",'Q 6'!C35))</f>
        <v xml:space="preserve">8 - Production of ammonia </v>
      </c>
    </row>
    <row r="5808" spans="1:11" x14ac:dyDescent="0.3">
      <c r="A5808" t="s">
        <v>1951</v>
      </c>
      <c r="B5808" t="s">
        <v>1957</v>
      </c>
      <c r="C5808">
        <v>20</v>
      </c>
      <c r="D5808" t="s">
        <v>1447</v>
      </c>
      <c r="E5808" t="s">
        <v>1958</v>
      </c>
      <c r="F5808" t="s">
        <v>1737</v>
      </c>
      <c r="K5808" t="str">
        <f>IF(ISBLANK('Q 6'!C36),"",IF('Q 6'!C36="&lt;please select&gt;","",'Q 6'!C36))</f>
        <v xml:space="preserve">8 - Production of bulk organic chemicals by cracking, reforming, partial or full oxidation or by similar processes </v>
      </c>
    </row>
    <row r="5809" spans="1:11" x14ac:dyDescent="0.3">
      <c r="A5809" t="s">
        <v>1951</v>
      </c>
      <c r="B5809" t="s">
        <v>1957</v>
      </c>
      <c r="C5809">
        <v>21</v>
      </c>
      <c r="D5809" t="s">
        <v>1447</v>
      </c>
      <c r="E5809" t="s">
        <v>1958</v>
      </c>
      <c r="F5809" t="s">
        <v>1737</v>
      </c>
      <c r="K5809" t="str">
        <f>IF(ISBLANK('Q 6'!C37),"",IF('Q 6'!C37="&lt;please select&gt;","",'Q 6'!C37))</f>
        <v xml:space="preserve">8 - Production of hydrogen (H2) and synthesis gas by reforming or partial oxidation </v>
      </c>
    </row>
    <row r="5810" spans="1:11" x14ac:dyDescent="0.3">
      <c r="A5810" t="s">
        <v>1951</v>
      </c>
      <c r="B5810" t="s">
        <v>1957</v>
      </c>
      <c r="C5810">
        <v>22</v>
      </c>
      <c r="D5810" t="s">
        <v>1447</v>
      </c>
      <c r="E5810" t="s">
        <v>1958</v>
      </c>
      <c r="F5810" t="s">
        <v>1737</v>
      </c>
      <c r="K5810" t="str">
        <f>IF(ISBLANK('Q 6'!C38),"",IF('Q 6'!C38="&lt;please select&gt;","",'Q 6'!C38))</f>
        <v>8 - Production of soda ash (Na2CO3) and sodium bicarbonate (NaHCO3)</v>
      </c>
    </row>
    <row r="5811" spans="1:11" x14ac:dyDescent="0.3">
      <c r="A5811" t="s">
        <v>1951</v>
      </c>
      <c r="B5811" t="s">
        <v>1957</v>
      </c>
      <c r="C5811">
        <v>23</v>
      </c>
      <c r="D5811" t="s">
        <v>1447</v>
      </c>
      <c r="E5811" t="s">
        <v>1958</v>
      </c>
      <c r="F5811" t="s">
        <v>1737</v>
      </c>
      <c r="K5811" t="str">
        <f>IF(ISBLANK('Q 6'!C39),"",IF('Q 6'!C39="&lt;please select&gt;","",'Q 6'!C39))</f>
        <v xml:space="preserve">9 - Production of nitric acid (CO2 and N2O emissions) </v>
      </c>
    </row>
    <row r="5812" spans="1:11" x14ac:dyDescent="0.3">
      <c r="A5812" t="s">
        <v>1951</v>
      </c>
      <c r="B5812" t="s">
        <v>1957</v>
      </c>
      <c r="C5812">
        <v>24</v>
      </c>
      <c r="D5812" t="s">
        <v>1447</v>
      </c>
      <c r="E5812" t="s">
        <v>1958</v>
      </c>
      <c r="F5812" t="s">
        <v>1737</v>
      </c>
      <c r="K5812" t="str">
        <f>IF(ISBLANK('Q 6'!C40),"",IF('Q 6'!C40="&lt;please select&gt;","",'Q 6'!C40))</f>
        <v xml:space="preserve">9 - Production of adipic acid (CO2 and N2O emissions) </v>
      </c>
    </row>
    <row r="5813" spans="1:11" x14ac:dyDescent="0.3">
      <c r="A5813" t="s">
        <v>1951</v>
      </c>
      <c r="B5813" t="s">
        <v>1957</v>
      </c>
      <c r="C5813">
        <v>25</v>
      </c>
      <c r="D5813" t="s">
        <v>1447</v>
      </c>
      <c r="E5813" t="s">
        <v>1958</v>
      </c>
      <c r="F5813" t="s">
        <v>1737</v>
      </c>
      <c r="K5813" t="str">
        <f>IF(ISBLANK('Q 6'!C41),"",IF('Q 6'!C41="&lt;please select&gt;","",'Q 6'!C41))</f>
        <v>9 - Production of glyoxal and glyoxylic acid (CO2 and N2O emissions)</v>
      </c>
    </row>
    <row r="5814" spans="1:11" x14ac:dyDescent="0.3">
      <c r="A5814" t="s">
        <v>1951</v>
      </c>
      <c r="B5814" t="s">
        <v>1957</v>
      </c>
      <c r="C5814">
        <v>26</v>
      </c>
      <c r="D5814" t="s">
        <v>1447</v>
      </c>
      <c r="E5814" t="s">
        <v>1958</v>
      </c>
      <c r="F5814" t="s">
        <v>1737</v>
      </c>
      <c r="K5814" t="str">
        <f>IF(ISBLANK('Q 6'!C42),"",IF('Q 6'!C42="&lt;please select&gt;","",'Q 6'!C42))</f>
        <v>12 - Aviation activities (emissions and tonne-kilometre data)</v>
      </c>
    </row>
    <row r="5815" spans="1:11" x14ac:dyDescent="0.3">
      <c r="A5815" t="s">
        <v>1951</v>
      </c>
      <c r="B5815" t="s">
        <v>1957</v>
      </c>
      <c r="C5815">
        <v>27</v>
      </c>
      <c r="D5815" t="s">
        <v>1447</v>
      </c>
      <c r="E5815" t="s">
        <v>1958</v>
      </c>
      <c r="F5815" t="s">
        <v>1737</v>
      </c>
      <c r="K5815" t="str">
        <f>IF(ISBLANK('Q 6'!C43),"",IF('Q 6'!C43="&lt;please select&gt;","",'Q 6'!C43))</f>
        <v>98 - Other activities pursuant to Article 10a of Directive 2003/87/EC</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5</v>
      </c>
    </row>
    <row r="5824" spans="1:11" x14ac:dyDescent="0.3">
      <c r="A5824" t="s">
        <v>1951</v>
      </c>
      <c r="B5824" t="s">
        <v>1957</v>
      </c>
      <c r="C5824">
        <v>2</v>
      </c>
      <c r="D5824" t="s">
        <v>1447</v>
      </c>
      <c r="E5824" t="s">
        <v>1959</v>
      </c>
      <c r="F5824" t="s">
        <v>1748</v>
      </c>
      <c r="H5824" s="165" t="str">
        <f>IF(ISBLANK('Q 6'!H18),"",IF('Q 6'!H18="&lt;please select&gt;","",'Q 6'!H18))</f>
        <v>5</v>
      </c>
    </row>
    <row r="5825" spans="1:8" x14ac:dyDescent="0.3">
      <c r="A5825" t="s">
        <v>1951</v>
      </c>
      <c r="B5825" t="s">
        <v>1957</v>
      </c>
      <c r="C5825">
        <v>3</v>
      </c>
      <c r="D5825" t="s">
        <v>1447</v>
      </c>
      <c r="E5825" t="s">
        <v>1959</v>
      </c>
      <c r="F5825" t="s">
        <v>1748</v>
      </c>
      <c r="H5825" s="165" t="str">
        <f>IF(ISBLANK('Q 6'!H19),"",IF('Q 6'!H19="&lt;please select&gt;","",'Q 6'!H19))</f>
        <v>2</v>
      </c>
    </row>
    <row r="5826" spans="1:8" x14ac:dyDescent="0.3">
      <c r="A5826" t="s">
        <v>1951</v>
      </c>
      <c r="B5826" t="s">
        <v>1957</v>
      </c>
      <c r="C5826">
        <v>4</v>
      </c>
      <c r="D5826" t="s">
        <v>1447</v>
      </c>
      <c r="E5826" t="s">
        <v>1959</v>
      </c>
      <c r="F5826" t="s">
        <v>1748</v>
      </c>
      <c r="H5826" s="165" t="str">
        <f>IF(ISBLANK('Q 6'!H20),"",IF('Q 6'!H20="&lt;please select&gt;","",'Q 6'!H20))</f>
        <v>3</v>
      </c>
    </row>
    <row r="5827" spans="1:8" x14ac:dyDescent="0.3">
      <c r="A5827" t="s">
        <v>1951</v>
      </c>
      <c r="B5827" t="s">
        <v>1957</v>
      </c>
      <c r="C5827">
        <v>5</v>
      </c>
      <c r="D5827" t="s">
        <v>1447</v>
      </c>
      <c r="E5827" t="s">
        <v>1959</v>
      </c>
      <c r="F5827" t="s">
        <v>1748</v>
      </c>
      <c r="H5827" s="165" t="str">
        <f>IF(ISBLANK('Q 6'!H21),"",IF('Q 6'!H21="&lt;please select&gt;","",'Q 6'!H21))</f>
        <v>3</v>
      </c>
    </row>
    <row r="5828" spans="1:8" x14ac:dyDescent="0.3">
      <c r="A5828" t="s">
        <v>1951</v>
      </c>
      <c r="B5828" t="s">
        <v>1957</v>
      </c>
      <c r="C5828">
        <v>6</v>
      </c>
      <c r="D5828" t="s">
        <v>1447</v>
      </c>
      <c r="E5828" t="s">
        <v>1959</v>
      </c>
      <c r="F5828" t="s">
        <v>1748</v>
      </c>
      <c r="H5828" s="165" t="str">
        <f>IF(ISBLANK('Q 6'!H22),"",IF('Q 6'!H22="&lt;please select&gt;","",'Q 6'!H22))</f>
        <v>3</v>
      </c>
    </row>
    <row r="5829" spans="1:8" x14ac:dyDescent="0.3">
      <c r="A5829" t="s">
        <v>1951</v>
      </c>
      <c r="B5829" t="s">
        <v>1957</v>
      </c>
      <c r="C5829">
        <v>7</v>
      </c>
      <c r="D5829" t="s">
        <v>1447</v>
      </c>
      <c r="E5829" t="s">
        <v>1959</v>
      </c>
      <c r="F5829" t="s">
        <v>1748</v>
      </c>
      <c r="H5829" s="165" t="str">
        <f>IF(ISBLANK('Q 6'!H23),"",IF('Q 6'!H23="&lt;please select&gt;","",'Q 6'!H23))</f>
        <v>3</v>
      </c>
    </row>
    <row r="5830" spans="1:8" x14ac:dyDescent="0.3">
      <c r="A5830" t="s">
        <v>1951</v>
      </c>
      <c r="B5830" t="s">
        <v>1957</v>
      </c>
      <c r="C5830">
        <v>8</v>
      </c>
      <c r="D5830" t="s">
        <v>1447</v>
      </c>
      <c r="E5830" t="s">
        <v>1959</v>
      </c>
      <c r="F5830" t="s">
        <v>1748</v>
      </c>
      <c r="H5830" s="165" t="str">
        <f>IF(ISBLANK('Q 6'!H24),"",IF('Q 6'!H24="&lt;please select&gt;","",'Q 6'!H24))</f>
        <v>3</v>
      </c>
    </row>
    <row r="5831" spans="1:8" x14ac:dyDescent="0.3">
      <c r="A5831" t="s">
        <v>1951</v>
      </c>
      <c r="B5831" t="s">
        <v>1957</v>
      </c>
      <c r="C5831">
        <v>9</v>
      </c>
      <c r="D5831" t="s">
        <v>1447</v>
      </c>
      <c r="E5831" t="s">
        <v>1959</v>
      </c>
      <c r="F5831" t="s">
        <v>1748</v>
      </c>
      <c r="H5831" s="165" t="str">
        <f>IF(ISBLANK('Q 6'!H25),"",IF('Q 6'!H25="&lt;please select&gt;","",'Q 6'!H25))</f>
        <v>3</v>
      </c>
    </row>
    <row r="5832" spans="1:8" x14ac:dyDescent="0.3">
      <c r="A5832" t="s">
        <v>1951</v>
      </c>
      <c r="B5832" t="s">
        <v>1957</v>
      </c>
      <c r="C5832">
        <v>10</v>
      </c>
      <c r="D5832" t="s">
        <v>1447</v>
      </c>
      <c r="E5832" t="s">
        <v>1959</v>
      </c>
      <c r="F5832" t="s">
        <v>1748</v>
      </c>
      <c r="H5832" s="165" t="str">
        <f>IF(ISBLANK('Q 6'!H26),"",IF('Q 6'!H26="&lt;please select&gt;","",'Q 6'!H26))</f>
        <v>5</v>
      </c>
    </row>
    <row r="5833" spans="1:8" x14ac:dyDescent="0.3">
      <c r="A5833" t="s">
        <v>1951</v>
      </c>
      <c r="B5833" t="s">
        <v>1957</v>
      </c>
      <c r="C5833">
        <v>11</v>
      </c>
      <c r="D5833" t="s">
        <v>1447</v>
      </c>
      <c r="E5833" t="s">
        <v>1959</v>
      </c>
      <c r="F5833" t="s">
        <v>1748</v>
      </c>
      <c r="H5833" s="165" t="str">
        <f>IF(ISBLANK('Q 6'!H27),"",IF('Q 6'!H27="&lt;please select&gt;","",'Q 6'!H27))</f>
        <v>5</v>
      </c>
    </row>
    <row r="5834" spans="1:8" x14ac:dyDescent="0.3">
      <c r="A5834" t="s">
        <v>1951</v>
      </c>
      <c r="B5834" t="s">
        <v>1957</v>
      </c>
      <c r="C5834">
        <v>12</v>
      </c>
      <c r="D5834" t="s">
        <v>1447</v>
      </c>
      <c r="E5834" t="s">
        <v>1959</v>
      </c>
      <c r="F5834" t="s">
        <v>1748</v>
      </c>
      <c r="H5834" s="165" t="str">
        <f>IF(ISBLANK('Q 6'!H28),"",IF('Q 6'!H28="&lt;please select&gt;","",'Q 6'!H28))</f>
        <v>5</v>
      </c>
    </row>
    <row r="5835" spans="1:8" x14ac:dyDescent="0.3">
      <c r="A5835" t="s">
        <v>1951</v>
      </c>
      <c r="B5835" t="s">
        <v>1957</v>
      </c>
      <c r="C5835">
        <v>13</v>
      </c>
      <c r="D5835" t="s">
        <v>1447</v>
      </c>
      <c r="E5835" t="s">
        <v>1959</v>
      </c>
      <c r="F5835" t="s">
        <v>1748</v>
      </c>
      <c r="H5835" s="165" t="str">
        <f>IF(ISBLANK('Q 6'!H29),"",IF('Q 6'!H29="&lt;please select&gt;","",'Q 6'!H29))</f>
        <v>5</v>
      </c>
    </row>
    <row r="5836" spans="1:8" x14ac:dyDescent="0.3">
      <c r="A5836" t="s">
        <v>1951</v>
      </c>
      <c r="B5836" t="s">
        <v>1957</v>
      </c>
      <c r="C5836">
        <v>14</v>
      </c>
      <c r="D5836" t="s">
        <v>1447</v>
      </c>
      <c r="E5836" t="s">
        <v>1959</v>
      </c>
      <c r="F5836" t="s">
        <v>1748</v>
      </c>
      <c r="H5836" s="165" t="str">
        <f>IF(ISBLANK('Q 6'!H30),"",IF('Q 6'!H30="&lt;please select&gt;","",'Q 6'!H30))</f>
        <v>5</v>
      </c>
    </row>
    <row r="5837" spans="1:8" x14ac:dyDescent="0.3">
      <c r="A5837" t="s">
        <v>1951</v>
      </c>
      <c r="B5837" t="s">
        <v>1957</v>
      </c>
      <c r="C5837">
        <v>15</v>
      </c>
      <c r="D5837" t="s">
        <v>1447</v>
      </c>
      <c r="E5837" t="s">
        <v>1959</v>
      </c>
      <c r="F5837" t="s">
        <v>1748</v>
      </c>
      <c r="H5837" s="165" t="str">
        <f>IF(ISBLANK('Q 6'!H31),"",IF('Q 6'!H31="&lt;please select&gt;","",'Q 6'!H31))</f>
        <v>5</v>
      </c>
    </row>
    <row r="5838" spans="1:8" x14ac:dyDescent="0.3">
      <c r="A5838" t="s">
        <v>1951</v>
      </c>
      <c r="B5838" t="s">
        <v>1957</v>
      </c>
      <c r="C5838">
        <v>16</v>
      </c>
      <c r="D5838" t="s">
        <v>1447</v>
      </c>
      <c r="E5838" t="s">
        <v>1959</v>
      </c>
      <c r="F5838" t="s">
        <v>1748</v>
      </c>
      <c r="H5838" s="165" t="str">
        <f>IF(ISBLANK('Q 6'!H32),"",IF('Q 6'!H32="&lt;please select&gt;","",'Q 6'!H32))</f>
        <v>4</v>
      </c>
    </row>
    <row r="5839" spans="1:8" x14ac:dyDescent="0.3">
      <c r="A5839" t="s">
        <v>1951</v>
      </c>
      <c r="B5839" t="s">
        <v>1957</v>
      </c>
      <c r="C5839">
        <v>17</v>
      </c>
      <c r="D5839" t="s">
        <v>1447</v>
      </c>
      <c r="E5839" t="s">
        <v>1959</v>
      </c>
      <c r="F5839" t="s">
        <v>1748</v>
      </c>
      <c r="H5839" s="165" t="str">
        <f>IF(ISBLANK('Q 6'!H33),"",IF('Q 6'!H33="&lt;please select&gt;","",'Q 6'!H33))</f>
        <v>4</v>
      </c>
    </row>
    <row r="5840" spans="1:8" x14ac:dyDescent="0.3">
      <c r="A5840" t="s">
        <v>1951</v>
      </c>
      <c r="B5840" t="s">
        <v>1957</v>
      </c>
      <c r="C5840">
        <v>18</v>
      </c>
      <c r="D5840" t="s">
        <v>1447</v>
      </c>
      <c r="E5840" t="s">
        <v>1959</v>
      </c>
      <c r="F5840" t="s">
        <v>1748</v>
      </c>
      <c r="H5840" s="165" t="str">
        <f>IF(ISBLANK('Q 6'!H34),"",IF('Q 6'!H34="&lt;please select&gt;","",'Q 6'!H34))</f>
        <v>3</v>
      </c>
    </row>
    <row r="5841" spans="1:8" x14ac:dyDescent="0.3">
      <c r="A5841" t="s">
        <v>1951</v>
      </c>
      <c r="B5841" t="s">
        <v>1957</v>
      </c>
      <c r="C5841">
        <v>19</v>
      </c>
      <c r="D5841" t="s">
        <v>1447</v>
      </c>
      <c r="E5841" t="s">
        <v>1959</v>
      </c>
      <c r="F5841" t="s">
        <v>1748</v>
      </c>
      <c r="H5841" s="165" t="str">
        <f>IF(ISBLANK('Q 6'!H35),"",IF('Q 6'!H35="&lt;please select&gt;","",'Q 6'!H35))</f>
        <v>3</v>
      </c>
    </row>
    <row r="5842" spans="1:8" x14ac:dyDescent="0.3">
      <c r="A5842" t="s">
        <v>1951</v>
      </c>
      <c r="B5842" t="s">
        <v>1957</v>
      </c>
      <c r="C5842">
        <v>20</v>
      </c>
      <c r="D5842" t="s">
        <v>1447</v>
      </c>
      <c r="E5842" t="s">
        <v>1959</v>
      </c>
      <c r="F5842" t="s">
        <v>1748</v>
      </c>
      <c r="H5842" s="165" t="str">
        <f>IF(ISBLANK('Q 6'!H36),"",IF('Q 6'!H36="&lt;please select&gt;","",'Q 6'!H36))</f>
        <v>3</v>
      </c>
    </row>
    <row r="5843" spans="1:8" x14ac:dyDescent="0.3">
      <c r="A5843" t="s">
        <v>1951</v>
      </c>
      <c r="B5843" t="s">
        <v>1957</v>
      </c>
      <c r="C5843">
        <v>21</v>
      </c>
      <c r="D5843" t="s">
        <v>1447</v>
      </c>
      <c r="E5843" t="s">
        <v>1959</v>
      </c>
      <c r="F5843" t="s">
        <v>1748</v>
      </c>
      <c r="H5843" s="165" t="str">
        <f>IF(ISBLANK('Q 6'!H37),"",IF('Q 6'!H37="&lt;please select&gt;","",'Q 6'!H37))</f>
        <v>3</v>
      </c>
    </row>
    <row r="5844" spans="1:8" x14ac:dyDescent="0.3">
      <c r="A5844" t="s">
        <v>1951</v>
      </c>
      <c r="B5844" t="s">
        <v>1957</v>
      </c>
      <c r="C5844">
        <v>22</v>
      </c>
      <c r="D5844" t="s">
        <v>1447</v>
      </c>
      <c r="E5844" t="s">
        <v>1959</v>
      </c>
      <c r="F5844" t="s">
        <v>1748</v>
      </c>
      <c r="H5844" s="165" t="str">
        <f>IF(ISBLANK('Q 6'!H38),"",IF('Q 6'!H38="&lt;please select&gt;","",'Q 6'!H38))</f>
        <v>3</v>
      </c>
    </row>
    <row r="5845" spans="1:8" x14ac:dyDescent="0.3">
      <c r="A5845" t="s">
        <v>1951</v>
      </c>
      <c r="B5845" t="s">
        <v>1957</v>
      </c>
      <c r="C5845">
        <v>23</v>
      </c>
      <c r="D5845" t="s">
        <v>1447</v>
      </c>
      <c r="E5845" t="s">
        <v>1959</v>
      </c>
      <c r="F5845" t="s">
        <v>1748</v>
      </c>
      <c r="H5845" s="165" t="str">
        <f>IF(ISBLANK('Q 6'!H39),"",IF('Q 6'!H39="&lt;please select&gt;","",'Q 6'!H39))</f>
        <v>3</v>
      </c>
    </row>
    <row r="5846" spans="1:8" x14ac:dyDescent="0.3">
      <c r="A5846" t="s">
        <v>1951</v>
      </c>
      <c r="B5846" t="s">
        <v>1957</v>
      </c>
      <c r="C5846">
        <v>24</v>
      </c>
      <c r="D5846" t="s">
        <v>1447</v>
      </c>
      <c r="E5846" t="s">
        <v>1959</v>
      </c>
      <c r="F5846" t="s">
        <v>1748</v>
      </c>
      <c r="H5846" s="165" t="str">
        <f>IF(ISBLANK('Q 6'!H40),"",IF('Q 6'!H40="&lt;please select&gt;","",'Q 6'!H40))</f>
        <v>3</v>
      </c>
    </row>
    <row r="5847" spans="1:8" x14ac:dyDescent="0.3">
      <c r="A5847" t="s">
        <v>1951</v>
      </c>
      <c r="B5847" t="s">
        <v>1957</v>
      </c>
      <c r="C5847">
        <v>25</v>
      </c>
      <c r="D5847" t="s">
        <v>1447</v>
      </c>
      <c r="E5847" t="s">
        <v>1959</v>
      </c>
      <c r="F5847" t="s">
        <v>1748</v>
      </c>
      <c r="H5847" s="165" t="str">
        <f>IF(ISBLANK('Q 6'!H41),"",IF('Q 6'!H41="&lt;please select&gt;","",'Q 6'!H41))</f>
        <v>3</v>
      </c>
    </row>
    <row r="5848" spans="1:8" x14ac:dyDescent="0.3">
      <c r="A5848" t="s">
        <v>1951</v>
      </c>
      <c r="B5848" t="s">
        <v>1957</v>
      </c>
      <c r="C5848">
        <v>26</v>
      </c>
      <c r="D5848" t="s">
        <v>1447</v>
      </c>
      <c r="E5848" t="s">
        <v>1959</v>
      </c>
      <c r="F5848" t="s">
        <v>1748</v>
      </c>
      <c r="H5848" s="165" t="str">
        <f>IF(ISBLANK('Q 6'!H42),"",IF('Q 6'!H42="&lt;please select&gt;","",'Q 6'!H42))</f>
        <v>1</v>
      </c>
    </row>
    <row r="5849" spans="1:8" x14ac:dyDescent="0.3">
      <c r="A5849" t="s">
        <v>1951</v>
      </c>
      <c r="B5849" t="s">
        <v>1957</v>
      </c>
      <c r="C5849">
        <v>27</v>
      </c>
      <c r="D5849" t="s">
        <v>1447</v>
      </c>
      <c r="E5849" t="s">
        <v>1959</v>
      </c>
      <c r="F5849" t="s">
        <v>1748</v>
      </c>
      <c r="H5849" s="165" t="str">
        <f>IF(ISBLANK('Q 6'!H43),"",IF('Q 6'!H43="&lt;please select&gt;","",'Q 6'!H43))</f>
        <v>5</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0</v>
      </c>
    </row>
    <row r="5858" spans="1:8" x14ac:dyDescent="0.3">
      <c r="A5858" t="s">
        <v>1951</v>
      </c>
      <c r="B5858" t="s">
        <v>1957</v>
      </c>
      <c r="C5858">
        <v>2</v>
      </c>
      <c r="D5858" t="s">
        <v>1447</v>
      </c>
      <c r="E5858" t="s">
        <v>1960</v>
      </c>
      <c r="F5858" t="s">
        <v>1748</v>
      </c>
      <c r="H5858" s="165" t="str">
        <f>IF(ISBLANK('Q 6'!I18),"",IF('Q 6'!I18="&lt;please select&gt;","",'Q 6'!I18))</f>
        <v>0</v>
      </c>
    </row>
    <row r="5859" spans="1:8" x14ac:dyDescent="0.3">
      <c r="A5859" t="s">
        <v>1951</v>
      </c>
      <c r="B5859" t="s">
        <v>1957</v>
      </c>
      <c r="C5859">
        <v>3</v>
      </c>
      <c r="D5859" t="s">
        <v>1447</v>
      </c>
      <c r="E5859" t="s">
        <v>1960</v>
      </c>
      <c r="F5859" t="s">
        <v>1748</v>
      </c>
      <c r="H5859" s="165" t="str">
        <f>IF(ISBLANK('Q 6'!I19),"",IF('Q 6'!I19="&lt;please select&gt;","",'Q 6'!I19))</f>
        <v>0</v>
      </c>
    </row>
    <row r="5860" spans="1:8" x14ac:dyDescent="0.3">
      <c r="A5860" t="s">
        <v>1951</v>
      </c>
      <c r="B5860" t="s">
        <v>1957</v>
      </c>
      <c r="C5860">
        <v>4</v>
      </c>
      <c r="D5860" t="s">
        <v>1447</v>
      </c>
      <c r="E5860" t="s">
        <v>1960</v>
      </c>
      <c r="F5860" t="s">
        <v>1748</v>
      </c>
      <c r="H5860" s="165" t="str">
        <f>IF(ISBLANK('Q 6'!I20),"",IF('Q 6'!I20="&lt;please select&gt;","",'Q 6'!I20))</f>
        <v>0</v>
      </c>
    </row>
    <row r="5861" spans="1:8" x14ac:dyDescent="0.3">
      <c r="A5861" t="s">
        <v>1951</v>
      </c>
      <c r="B5861" t="s">
        <v>1957</v>
      </c>
      <c r="C5861">
        <v>5</v>
      </c>
      <c r="D5861" t="s">
        <v>1447</v>
      </c>
      <c r="E5861" t="s">
        <v>1960</v>
      </c>
      <c r="F5861" t="s">
        <v>1748</v>
      </c>
      <c r="H5861" s="165" t="str">
        <f>IF(ISBLANK('Q 6'!I21),"",IF('Q 6'!I21="&lt;please select&gt;","",'Q 6'!I21))</f>
        <v>0</v>
      </c>
    </row>
    <row r="5862" spans="1:8" x14ac:dyDescent="0.3">
      <c r="A5862" t="s">
        <v>1951</v>
      </c>
      <c r="B5862" t="s">
        <v>1957</v>
      </c>
      <c r="C5862">
        <v>6</v>
      </c>
      <c r="D5862" t="s">
        <v>1447</v>
      </c>
      <c r="E5862" t="s">
        <v>1960</v>
      </c>
      <c r="F5862" t="s">
        <v>1748</v>
      </c>
      <c r="H5862" s="165" t="str">
        <f>IF(ISBLANK('Q 6'!I22),"",IF('Q 6'!I22="&lt;please select&gt;","",'Q 6'!I22))</f>
        <v>0</v>
      </c>
    </row>
    <row r="5863" spans="1:8" x14ac:dyDescent="0.3">
      <c r="A5863" t="s">
        <v>1951</v>
      </c>
      <c r="B5863" t="s">
        <v>1957</v>
      </c>
      <c r="C5863">
        <v>7</v>
      </c>
      <c r="D5863" t="s">
        <v>1447</v>
      </c>
      <c r="E5863" t="s">
        <v>1960</v>
      </c>
      <c r="F5863" t="s">
        <v>1748</v>
      </c>
      <c r="H5863" s="165" t="str">
        <f>IF(ISBLANK('Q 6'!I23),"",IF('Q 6'!I23="&lt;please select&gt;","",'Q 6'!I23))</f>
        <v>0</v>
      </c>
    </row>
    <row r="5864" spans="1:8" x14ac:dyDescent="0.3">
      <c r="A5864" t="s">
        <v>1951</v>
      </c>
      <c r="B5864" t="s">
        <v>1957</v>
      </c>
      <c r="C5864">
        <v>8</v>
      </c>
      <c r="D5864" t="s">
        <v>1447</v>
      </c>
      <c r="E5864" t="s">
        <v>1960</v>
      </c>
      <c r="F5864" t="s">
        <v>1748</v>
      </c>
      <c r="H5864" s="165" t="str">
        <f>IF(ISBLANK('Q 6'!I24),"",IF('Q 6'!I24="&lt;please select&gt;","",'Q 6'!I24))</f>
        <v>0</v>
      </c>
    </row>
    <row r="5865" spans="1:8" x14ac:dyDescent="0.3">
      <c r="A5865" t="s">
        <v>1951</v>
      </c>
      <c r="B5865" t="s">
        <v>1957</v>
      </c>
      <c r="C5865">
        <v>9</v>
      </c>
      <c r="D5865" t="s">
        <v>1447</v>
      </c>
      <c r="E5865" t="s">
        <v>1960</v>
      </c>
      <c r="F5865" t="s">
        <v>1748</v>
      </c>
      <c r="H5865" s="165" t="str">
        <f>IF(ISBLANK('Q 6'!I25),"",IF('Q 6'!I25="&lt;please select&gt;","",'Q 6'!I25))</f>
        <v>0</v>
      </c>
    </row>
    <row r="5866" spans="1:8" x14ac:dyDescent="0.3">
      <c r="A5866" t="s">
        <v>1951</v>
      </c>
      <c r="B5866" t="s">
        <v>1957</v>
      </c>
      <c r="C5866">
        <v>10</v>
      </c>
      <c r="D5866" t="s">
        <v>1447</v>
      </c>
      <c r="E5866" t="s">
        <v>1960</v>
      </c>
      <c r="F5866" t="s">
        <v>1748</v>
      </c>
      <c r="H5866" s="165" t="str">
        <f>IF(ISBLANK('Q 6'!I26),"",IF('Q 6'!I26="&lt;please select&gt;","",'Q 6'!I26))</f>
        <v>0</v>
      </c>
    </row>
    <row r="5867" spans="1:8" x14ac:dyDescent="0.3">
      <c r="A5867" t="s">
        <v>1951</v>
      </c>
      <c r="B5867" t="s">
        <v>1957</v>
      </c>
      <c r="C5867">
        <v>11</v>
      </c>
      <c r="D5867" t="s">
        <v>1447</v>
      </c>
      <c r="E5867" t="s">
        <v>1960</v>
      </c>
      <c r="F5867" t="s">
        <v>1748</v>
      </c>
      <c r="H5867" s="165" t="str">
        <f>IF(ISBLANK('Q 6'!I27),"",IF('Q 6'!I27="&lt;please select&gt;","",'Q 6'!I27))</f>
        <v>0</v>
      </c>
    </row>
    <row r="5868" spans="1:8" x14ac:dyDescent="0.3">
      <c r="A5868" t="s">
        <v>1951</v>
      </c>
      <c r="B5868" t="s">
        <v>1957</v>
      </c>
      <c r="C5868">
        <v>12</v>
      </c>
      <c r="D5868" t="s">
        <v>1447</v>
      </c>
      <c r="E5868" t="s">
        <v>1960</v>
      </c>
      <c r="F5868" t="s">
        <v>1748</v>
      </c>
      <c r="H5868" s="165" t="str">
        <f>IF(ISBLANK('Q 6'!I28),"",IF('Q 6'!I28="&lt;please select&gt;","",'Q 6'!I28))</f>
        <v>0</v>
      </c>
    </row>
    <row r="5869" spans="1:8" x14ac:dyDescent="0.3">
      <c r="A5869" t="s">
        <v>1951</v>
      </c>
      <c r="B5869" t="s">
        <v>1957</v>
      </c>
      <c r="C5869">
        <v>13</v>
      </c>
      <c r="D5869" t="s">
        <v>1447</v>
      </c>
      <c r="E5869" t="s">
        <v>1960</v>
      </c>
      <c r="F5869" t="s">
        <v>1748</v>
      </c>
      <c r="H5869" s="165" t="str">
        <f>IF(ISBLANK('Q 6'!I29),"",IF('Q 6'!I29="&lt;please select&gt;","",'Q 6'!I29))</f>
        <v>0</v>
      </c>
    </row>
    <row r="5870" spans="1:8" x14ac:dyDescent="0.3">
      <c r="A5870" t="s">
        <v>1951</v>
      </c>
      <c r="B5870" t="s">
        <v>1957</v>
      </c>
      <c r="C5870">
        <v>14</v>
      </c>
      <c r="D5870" t="s">
        <v>1447</v>
      </c>
      <c r="E5870" t="s">
        <v>1960</v>
      </c>
      <c r="F5870" t="s">
        <v>1748</v>
      </c>
      <c r="H5870" s="165" t="str">
        <f>IF(ISBLANK('Q 6'!I30),"",IF('Q 6'!I30="&lt;please select&gt;","",'Q 6'!I30))</f>
        <v>0</v>
      </c>
    </row>
    <row r="5871" spans="1:8" x14ac:dyDescent="0.3">
      <c r="A5871" t="s">
        <v>1951</v>
      </c>
      <c r="B5871" t="s">
        <v>1957</v>
      </c>
      <c r="C5871">
        <v>15</v>
      </c>
      <c r="D5871" t="s">
        <v>1447</v>
      </c>
      <c r="E5871" t="s">
        <v>1960</v>
      </c>
      <c r="F5871" t="s">
        <v>1748</v>
      </c>
      <c r="H5871" s="165" t="str">
        <f>IF(ISBLANK('Q 6'!I31),"",IF('Q 6'!I31="&lt;please select&gt;","",'Q 6'!I31))</f>
        <v>0</v>
      </c>
    </row>
    <row r="5872" spans="1:8" x14ac:dyDescent="0.3">
      <c r="A5872" t="s">
        <v>1951</v>
      </c>
      <c r="B5872" t="s">
        <v>1957</v>
      </c>
      <c r="C5872">
        <v>16</v>
      </c>
      <c r="D5872" t="s">
        <v>1447</v>
      </c>
      <c r="E5872" t="s">
        <v>1960</v>
      </c>
      <c r="F5872" t="s">
        <v>1748</v>
      </c>
      <c r="H5872" s="165" t="str">
        <f>IF(ISBLANK('Q 6'!I32),"",IF('Q 6'!I32="&lt;please select&gt;","",'Q 6'!I32))</f>
        <v>0</v>
      </c>
    </row>
    <row r="5873" spans="1:8" x14ac:dyDescent="0.3">
      <c r="A5873" t="s">
        <v>1951</v>
      </c>
      <c r="B5873" t="s">
        <v>1957</v>
      </c>
      <c r="C5873">
        <v>17</v>
      </c>
      <c r="D5873" t="s">
        <v>1447</v>
      </c>
      <c r="E5873" t="s">
        <v>1960</v>
      </c>
      <c r="F5873" t="s">
        <v>1748</v>
      </c>
      <c r="H5873" s="165" t="str">
        <f>IF(ISBLANK('Q 6'!I33),"",IF('Q 6'!I33="&lt;please select&gt;","",'Q 6'!I33))</f>
        <v>0</v>
      </c>
    </row>
    <row r="5874" spans="1:8" x14ac:dyDescent="0.3">
      <c r="A5874" t="s">
        <v>1951</v>
      </c>
      <c r="B5874" t="s">
        <v>1957</v>
      </c>
      <c r="C5874">
        <v>18</v>
      </c>
      <c r="D5874" t="s">
        <v>1447</v>
      </c>
      <c r="E5874" t="s">
        <v>1960</v>
      </c>
      <c r="F5874" t="s">
        <v>1748</v>
      </c>
      <c r="H5874" s="165" t="str">
        <f>IF(ISBLANK('Q 6'!I34),"",IF('Q 6'!I34="&lt;please select&gt;","",'Q 6'!I34))</f>
        <v>0</v>
      </c>
    </row>
    <row r="5875" spans="1:8" x14ac:dyDescent="0.3">
      <c r="A5875" t="s">
        <v>1951</v>
      </c>
      <c r="B5875" t="s">
        <v>1957</v>
      </c>
      <c r="C5875">
        <v>19</v>
      </c>
      <c r="D5875" t="s">
        <v>1447</v>
      </c>
      <c r="E5875" t="s">
        <v>1960</v>
      </c>
      <c r="F5875" t="s">
        <v>1748</v>
      </c>
      <c r="H5875" s="165" t="str">
        <f>IF(ISBLANK('Q 6'!I35),"",IF('Q 6'!I35="&lt;please select&gt;","",'Q 6'!I35))</f>
        <v>0</v>
      </c>
    </row>
    <row r="5876" spans="1:8" x14ac:dyDescent="0.3">
      <c r="A5876" t="s">
        <v>1951</v>
      </c>
      <c r="B5876" t="s">
        <v>1957</v>
      </c>
      <c r="C5876">
        <v>20</v>
      </c>
      <c r="D5876" t="s">
        <v>1447</v>
      </c>
      <c r="E5876" t="s">
        <v>1960</v>
      </c>
      <c r="F5876" t="s">
        <v>1748</v>
      </c>
      <c r="H5876" s="165" t="str">
        <f>IF(ISBLANK('Q 6'!I36),"",IF('Q 6'!I36="&lt;please select&gt;","",'Q 6'!I36))</f>
        <v>0</v>
      </c>
    </row>
    <row r="5877" spans="1:8" x14ac:dyDescent="0.3">
      <c r="A5877" t="s">
        <v>1951</v>
      </c>
      <c r="B5877" t="s">
        <v>1957</v>
      </c>
      <c r="C5877">
        <v>21</v>
      </c>
      <c r="D5877" t="s">
        <v>1447</v>
      </c>
      <c r="E5877" t="s">
        <v>1960</v>
      </c>
      <c r="F5877" t="s">
        <v>1748</v>
      </c>
      <c r="H5877" s="165" t="str">
        <f>IF(ISBLANK('Q 6'!I37),"",IF('Q 6'!I37="&lt;please select&gt;","",'Q 6'!I37))</f>
        <v>0</v>
      </c>
    </row>
    <row r="5878" spans="1:8" x14ac:dyDescent="0.3">
      <c r="A5878" t="s">
        <v>1951</v>
      </c>
      <c r="B5878" t="s">
        <v>1957</v>
      </c>
      <c r="C5878">
        <v>22</v>
      </c>
      <c r="D5878" t="s">
        <v>1447</v>
      </c>
      <c r="E5878" t="s">
        <v>1960</v>
      </c>
      <c r="F5878" t="s">
        <v>1748</v>
      </c>
      <c r="H5878" s="165" t="str">
        <f>IF(ISBLANK('Q 6'!I38),"",IF('Q 6'!I38="&lt;please select&gt;","",'Q 6'!I38))</f>
        <v>0</v>
      </c>
    </row>
    <row r="5879" spans="1:8" x14ac:dyDescent="0.3">
      <c r="A5879" t="s">
        <v>1951</v>
      </c>
      <c r="B5879" t="s">
        <v>1957</v>
      </c>
      <c r="C5879">
        <v>23</v>
      </c>
      <c r="D5879" t="s">
        <v>1447</v>
      </c>
      <c r="E5879" t="s">
        <v>1960</v>
      </c>
      <c r="F5879" t="s">
        <v>1748</v>
      </c>
      <c r="H5879" s="165" t="str">
        <f>IF(ISBLANK('Q 6'!I39),"",IF('Q 6'!I39="&lt;please select&gt;","",'Q 6'!I39))</f>
        <v>0</v>
      </c>
    </row>
    <row r="5880" spans="1:8" x14ac:dyDescent="0.3">
      <c r="A5880" t="s">
        <v>1951</v>
      </c>
      <c r="B5880" t="s">
        <v>1957</v>
      </c>
      <c r="C5880">
        <v>24</v>
      </c>
      <c r="D5880" t="s">
        <v>1447</v>
      </c>
      <c r="E5880" t="s">
        <v>1960</v>
      </c>
      <c r="F5880" t="s">
        <v>1748</v>
      </c>
      <c r="H5880" s="165" t="str">
        <f>IF(ISBLANK('Q 6'!I40),"",IF('Q 6'!I40="&lt;please select&gt;","",'Q 6'!I40))</f>
        <v>0</v>
      </c>
    </row>
    <row r="5881" spans="1:8" x14ac:dyDescent="0.3">
      <c r="A5881" t="s">
        <v>1951</v>
      </c>
      <c r="B5881" t="s">
        <v>1957</v>
      </c>
      <c r="C5881">
        <v>25</v>
      </c>
      <c r="D5881" t="s">
        <v>1447</v>
      </c>
      <c r="E5881" t="s">
        <v>1960</v>
      </c>
      <c r="F5881" t="s">
        <v>1748</v>
      </c>
      <c r="H5881" s="165" t="str">
        <f>IF(ISBLANK('Q 6'!I41),"",IF('Q 6'!I41="&lt;please select&gt;","",'Q 6'!I41))</f>
        <v>0</v>
      </c>
    </row>
    <row r="5882" spans="1:8" x14ac:dyDescent="0.3">
      <c r="A5882" t="s">
        <v>1951</v>
      </c>
      <c r="B5882" t="s">
        <v>1957</v>
      </c>
      <c r="C5882">
        <v>26</v>
      </c>
      <c r="D5882" t="s">
        <v>1447</v>
      </c>
      <c r="E5882" t="s">
        <v>1960</v>
      </c>
      <c r="F5882" t="s">
        <v>1748</v>
      </c>
      <c r="H5882" s="165" t="str">
        <f>IF(ISBLANK('Q 6'!I42),"",IF('Q 6'!I42="&lt;please select&gt;","",'Q 6'!I42))</f>
        <v>0</v>
      </c>
    </row>
    <row r="5883" spans="1:8" x14ac:dyDescent="0.3">
      <c r="A5883" t="s">
        <v>1951</v>
      </c>
      <c r="B5883" t="s">
        <v>1957</v>
      </c>
      <c r="C5883">
        <v>27</v>
      </c>
      <c r="D5883" t="s">
        <v>1447</v>
      </c>
      <c r="E5883" t="s">
        <v>1960</v>
      </c>
      <c r="F5883" t="s">
        <v>1748</v>
      </c>
      <c r="H5883" s="165" t="str">
        <f>IF(ISBLANK('Q 6'!I43),"",IF('Q 6'!I43="&lt;please select&gt;","",'Q 6'!I43))</f>
        <v>0</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Yes</v>
      </c>
    </row>
    <row r="5892" spans="1:11" x14ac:dyDescent="0.3">
      <c r="A5892" t="s">
        <v>1961</v>
      </c>
      <c r="B5892" t="s">
        <v>1962</v>
      </c>
      <c r="C5892">
        <v>1</v>
      </c>
      <c r="D5892" t="s">
        <v>1447</v>
      </c>
      <c r="E5892" t="s">
        <v>1964</v>
      </c>
      <c r="F5892" t="s">
        <v>1759</v>
      </c>
      <c r="K5892" t="str">
        <f>IF(ISBLANK('Q 6'!$I$56),"",IF('Q 6'!$I$56="&lt;please select&gt;","",'Q 6'!$I$56))</f>
        <v>Yes</v>
      </c>
    </row>
    <row r="5893" spans="1:11" x14ac:dyDescent="0.3">
      <c r="A5893" t="s">
        <v>1961</v>
      </c>
      <c r="B5893" t="s">
        <v>1962</v>
      </c>
      <c r="C5893">
        <v>2</v>
      </c>
      <c r="D5893" t="s">
        <v>1447</v>
      </c>
      <c r="E5893" t="s">
        <v>1963</v>
      </c>
      <c r="F5893" t="s">
        <v>1759</v>
      </c>
      <c r="K5893" t="str">
        <f>IF(ISBLANK('Q 6'!$G$58),"",IF('Q 6'!$G$58="&lt;please select&gt;","",'Q 6'!$G$58))</f>
        <v>Yes</v>
      </c>
    </row>
    <row r="5894" spans="1:11" x14ac:dyDescent="0.3">
      <c r="A5894" t="s">
        <v>1961</v>
      </c>
      <c r="B5894" t="s">
        <v>1962</v>
      </c>
      <c r="C5894">
        <v>2</v>
      </c>
      <c r="D5894" t="s">
        <v>1447</v>
      </c>
      <c r="E5894" t="s">
        <v>1964</v>
      </c>
      <c r="F5894" t="s">
        <v>1759</v>
      </c>
      <c r="K5894" t="str">
        <f>IF(ISBLANK('Q 6'!$I$58),"",IF('Q 6'!$I$58="&lt;please select&gt;","",'Q 6'!$I$58))</f>
        <v>Yes</v>
      </c>
    </row>
    <row r="5895" spans="1:11" x14ac:dyDescent="0.3">
      <c r="A5895" t="s">
        <v>1961</v>
      </c>
      <c r="B5895" t="s">
        <v>1962</v>
      </c>
      <c r="C5895">
        <v>3</v>
      </c>
      <c r="D5895" t="s">
        <v>1447</v>
      </c>
      <c r="E5895" t="s">
        <v>1963</v>
      </c>
      <c r="F5895" t="s">
        <v>1759</v>
      </c>
      <c r="K5895" t="str">
        <f>IF(ISBLANK('Q 6'!$G$60),"",IF('Q 6'!$G$60="&lt;please select&gt;","",'Q 6'!$G$60))</f>
        <v>Yes</v>
      </c>
    </row>
    <row r="5896" spans="1:11" x14ac:dyDescent="0.3">
      <c r="A5896" t="s">
        <v>1961</v>
      </c>
      <c r="B5896" t="s">
        <v>1962</v>
      </c>
      <c r="C5896">
        <v>3</v>
      </c>
      <c r="D5896" t="s">
        <v>1447</v>
      </c>
      <c r="E5896" t="s">
        <v>1964</v>
      </c>
      <c r="F5896" t="s">
        <v>1759</v>
      </c>
      <c r="K5896" t="str">
        <f>IF(ISBLANK('Q 6'!$I$60),"",IF('Q 6'!$I$60="&lt;please select&gt;","",'Q 6'!$I$60))</f>
        <v>Yes</v>
      </c>
    </row>
    <row r="5897" spans="1:11" x14ac:dyDescent="0.3">
      <c r="A5897" t="s">
        <v>1961</v>
      </c>
      <c r="B5897" t="s">
        <v>1965</v>
      </c>
      <c r="C5897">
        <v>1</v>
      </c>
      <c r="D5897" t="s">
        <v>1447</v>
      </c>
      <c r="E5897" t="s">
        <v>1966</v>
      </c>
      <c r="F5897" t="s">
        <v>1748</v>
      </c>
      <c r="H5897" s="165" t="str">
        <f>IF(ISBLANK('Q 6'!$G$62),"",IF('Q 6'!$G$62="&lt;please select&gt;","",'Q 6'!$G$62))</f>
        <v>0</v>
      </c>
    </row>
    <row r="5898" spans="1:11" x14ac:dyDescent="0.3">
      <c r="A5898" t="s">
        <v>1961</v>
      </c>
      <c r="B5898" t="s">
        <v>1965</v>
      </c>
      <c r="C5898">
        <v>1</v>
      </c>
      <c r="D5898" t="s">
        <v>1447</v>
      </c>
      <c r="E5898" t="s">
        <v>1967</v>
      </c>
      <c r="F5898" t="s">
        <v>1748</v>
      </c>
      <c r="H5898" s="165" t="str">
        <f>IF(ISBLANK('Q 6'!$H$62),"",IF('Q 6'!$H$62="&lt;please select&gt;","",'Q 6'!$H$62))</f>
        <v>0</v>
      </c>
    </row>
    <row r="5899" spans="1:11" x14ac:dyDescent="0.3">
      <c r="A5899" t="s">
        <v>1961</v>
      </c>
      <c r="B5899" t="s">
        <v>1965</v>
      </c>
      <c r="C5899">
        <v>1</v>
      </c>
      <c r="D5899" t="s">
        <v>1447</v>
      </c>
      <c r="E5899" t="s">
        <v>1968</v>
      </c>
      <c r="F5899" t="s">
        <v>1748</v>
      </c>
      <c r="H5899" s="165" t="str">
        <f>IF(ISBLANK('Q 6'!$I$62),"",IF('Q 6'!$I$62="&lt;please select&gt;","",'Q 6'!$I$62))</f>
        <v>0</v>
      </c>
    </row>
    <row r="5900" spans="1:11" x14ac:dyDescent="0.3">
      <c r="A5900" t="s">
        <v>1961</v>
      </c>
      <c r="B5900" t="s">
        <v>1965</v>
      </c>
      <c r="C5900">
        <v>2</v>
      </c>
      <c r="D5900" t="s">
        <v>1447</v>
      </c>
      <c r="E5900" t="s">
        <v>1966</v>
      </c>
      <c r="F5900" t="s">
        <v>1748</v>
      </c>
      <c r="H5900" s="165" t="str">
        <f>IF(ISBLANK('Q 6'!$G$64),"",IF('Q 6'!$G$64="&lt;please select&gt;","",'Q 6'!$G$64))</f>
        <v/>
      </c>
    </row>
    <row r="5901" spans="1:11" x14ac:dyDescent="0.3">
      <c r="A5901" t="s">
        <v>1961</v>
      </c>
      <c r="B5901" t="s">
        <v>1965</v>
      </c>
      <c r="C5901">
        <v>2</v>
      </c>
      <c r="D5901" t="s">
        <v>1447</v>
      </c>
      <c r="E5901" t="s">
        <v>1967</v>
      </c>
      <c r="F5901" t="s">
        <v>1748</v>
      </c>
      <c r="H5901" s="165" t="str">
        <f>IF(ISBLANK('Q 6'!$H$64),"",IF('Q 6'!$H$64="&lt;please select&gt;","",'Q 6'!$H$64))</f>
        <v/>
      </c>
    </row>
    <row r="5902" spans="1:11" x14ac:dyDescent="0.3">
      <c r="A5902" t="s">
        <v>1961</v>
      </c>
      <c r="B5902" t="s">
        <v>1965</v>
      </c>
      <c r="C5902">
        <v>2</v>
      </c>
      <c r="D5902" t="s">
        <v>1447</v>
      </c>
      <c r="E5902" t="s">
        <v>1968</v>
      </c>
      <c r="F5902" t="s">
        <v>1748</v>
      </c>
      <c r="H5902" s="165" t="str">
        <f>IF(ISBLANK('Q 6'!$I$64),"",IF('Q 6'!$I$64="&lt;please select&gt;","",'Q 6'!$I$64))</f>
        <v/>
      </c>
    </row>
    <row r="5903" spans="1:11" x14ac:dyDescent="0.3">
      <c r="A5903" t="s">
        <v>1961</v>
      </c>
      <c r="B5903" t="s">
        <v>1969</v>
      </c>
      <c r="C5903">
        <v>0</v>
      </c>
      <c r="D5903" t="s">
        <v>1447</v>
      </c>
      <c r="E5903" t="s">
        <v>1970</v>
      </c>
      <c r="F5903" t="s">
        <v>1748</v>
      </c>
      <c r="H5903" s="165" t="str">
        <f>IF(ISBLANK('Q 6'!$G$65),"",IF('Q 6'!$G$65="&lt;please select&gt;","",'Q 6'!$G$65))</f>
        <v>0</v>
      </c>
    </row>
    <row r="5904" spans="1:11" x14ac:dyDescent="0.3">
      <c r="A5904" t="s">
        <v>1961</v>
      </c>
      <c r="B5904" t="s">
        <v>1971</v>
      </c>
      <c r="C5904">
        <v>1</v>
      </c>
      <c r="D5904" t="s">
        <v>1447</v>
      </c>
      <c r="E5904" t="s">
        <v>1972</v>
      </c>
      <c r="F5904" t="s">
        <v>1748</v>
      </c>
      <c r="H5904" s="165" t="str">
        <f>IF(ISBLANK('Q 6'!$G$67),"",IF('Q 6'!$G$67="&lt;please select&gt;","",'Q 6'!$G$67))</f>
        <v>0</v>
      </c>
    </row>
    <row r="5905" spans="1:8" x14ac:dyDescent="0.3">
      <c r="A5905" t="s">
        <v>1961</v>
      </c>
      <c r="B5905" t="s">
        <v>1971</v>
      </c>
      <c r="C5905">
        <v>1</v>
      </c>
      <c r="D5905" t="s">
        <v>1447</v>
      </c>
      <c r="E5905" t="s">
        <v>1973</v>
      </c>
      <c r="F5905" t="s">
        <v>1748</v>
      </c>
      <c r="H5905" s="165" t="str">
        <f>IF(ISBLANK('Q 6'!$H$67),"",IF('Q 6'!$H$67="&lt;please select&gt;","",'Q 6'!$H$67))</f>
        <v>0</v>
      </c>
    </row>
    <row r="5906" spans="1:8" x14ac:dyDescent="0.3">
      <c r="A5906" t="s">
        <v>1961</v>
      </c>
      <c r="B5906" t="s">
        <v>1971</v>
      </c>
      <c r="C5906">
        <v>1</v>
      </c>
      <c r="D5906" t="s">
        <v>1447</v>
      </c>
      <c r="E5906" t="s">
        <v>1974</v>
      </c>
      <c r="F5906" t="s">
        <v>1748</v>
      </c>
      <c r="H5906" s="165" t="str">
        <f>IF(ISBLANK('Q 6'!$I$67),"",IF('Q 6'!$I$67="&lt;please select&gt;","",'Q 6'!$I$67))</f>
        <v>0</v>
      </c>
    </row>
    <row r="5907" spans="1:8" x14ac:dyDescent="0.3">
      <c r="A5907" t="s">
        <v>1961</v>
      </c>
      <c r="B5907" t="s">
        <v>1971</v>
      </c>
      <c r="C5907">
        <v>2</v>
      </c>
      <c r="D5907" t="s">
        <v>1447</v>
      </c>
      <c r="E5907" t="s">
        <v>1972</v>
      </c>
      <c r="F5907" t="s">
        <v>1748</v>
      </c>
      <c r="H5907" s="165" t="str">
        <f>IF(ISBLANK('Q 6'!$G$69),"",IF('Q 6'!$G$69="&lt;please select&gt;","",'Q 6'!$G$69))</f>
        <v/>
      </c>
    </row>
    <row r="5908" spans="1:8" x14ac:dyDescent="0.3">
      <c r="A5908" t="s">
        <v>1961</v>
      </c>
      <c r="B5908" t="s">
        <v>1971</v>
      </c>
      <c r="C5908">
        <v>2</v>
      </c>
      <c r="D5908" t="s">
        <v>1447</v>
      </c>
      <c r="E5908" t="s">
        <v>1973</v>
      </c>
      <c r="F5908" t="s">
        <v>1748</v>
      </c>
      <c r="H5908" s="165" t="str">
        <f>IF(ISBLANK('Q 6'!$H$69),"",IF('Q 6'!$H$69="&lt;please select&gt;","",'Q 6'!$H$69))</f>
        <v/>
      </c>
    </row>
    <row r="5909" spans="1:8" x14ac:dyDescent="0.3">
      <c r="A5909" t="s">
        <v>1961</v>
      </c>
      <c r="B5909" t="s">
        <v>1971</v>
      </c>
      <c r="C5909">
        <v>2</v>
      </c>
      <c r="D5909" t="s">
        <v>1447</v>
      </c>
      <c r="E5909" t="s">
        <v>1974</v>
      </c>
      <c r="F5909" t="s">
        <v>1748</v>
      </c>
      <c r="H5909" s="165" t="str">
        <f>IF(ISBLANK('Q 6'!$I$69),"",IF('Q 6'!$I$69="&lt;please select&gt;","",'Q 6'!$I$69))</f>
        <v/>
      </c>
    </row>
    <row r="5910" spans="1:8" x14ac:dyDescent="0.3">
      <c r="A5910" t="s">
        <v>1961</v>
      </c>
      <c r="B5910" t="s">
        <v>1971</v>
      </c>
      <c r="C5910">
        <v>3</v>
      </c>
      <c r="D5910" t="s">
        <v>1447</v>
      </c>
      <c r="E5910" t="s">
        <v>1972</v>
      </c>
      <c r="F5910" t="s">
        <v>1748</v>
      </c>
      <c r="H5910" s="165" t="str">
        <f>IF(ISBLANK('Q 6'!$G$71),"",IF('Q 6'!$G$71="&lt;please select&gt;","",'Q 6'!$G$71))</f>
        <v>0</v>
      </c>
    </row>
    <row r="5911" spans="1:8" x14ac:dyDescent="0.3">
      <c r="A5911" t="s">
        <v>1961</v>
      </c>
      <c r="B5911" t="s">
        <v>1971</v>
      </c>
      <c r="C5911">
        <v>3</v>
      </c>
      <c r="D5911" t="s">
        <v>1447</v>
      </c>
      <c r="E5911" t="s">
        <v>1973</v>
      </c>
      <c r="F5911" t="s">
        <v>1748</v>
      </c>
      <c r="H5911" s="165" t="str">
        <f>IF(ISBLANK('Q 6'!$H$71),"",IF('Q 6'!$H$71="&lt;please select&gt;","",'Q 6'!$H$71))</f>
        <v>0</v>
      </c>
    </row>
    <row r="5912" spans="1:8" x14ac:dyDescent="0.3">
      <c r="A5912" t="s">
        <v>1961</v>
      </c>
      <c r="B5912" t="s">
        <v>1971</v>
      </c>
      <c r="C5912">
        <v>3</v>
      </c>
      <c r="D5912" t="s">
        <v>1447</v>
      </c>
      <c r="E5912" t="s">
        <v>1974</v>
      </c>
      <c r="F5912" t="s">
        <v>1748</v>
      </c>
      <c r="H5912" s="165" t="str">
        <f>IF(ISBLANK('Q 6'!$I$71),"",IF('Q 6'!$I$71="&lt;please select&gt;","",'Q 6'!$I$71))</f>
        <v>0</v>
      </c>
    </row>
    <row r="5913" spans="1:8" x14ac:dyDescent="0.3">
      <c r="A5913" t="s">
        <v>1975</v>
      </c>
      <c r="B5913" t="s">
        <v>1976</v>
      </c>
      <c r="C5913">
        <v>1</v>
      </c>
      <c r="D5913" t="s">
        <v>1447</v>
      </c>
      <c r="E5913" t="s">
        <v>1868</v>
      </c>
      <c r="F5913" t="s">
        <v>1741</v>
      </c>
      <c r="G5913" t="str">
        <f>IF(ISBLANK('Q 6'!C78),"",IF('Q 6'!C78="&lt;please select&gt;","",'Q 6'!C78))</f>
        <v>174</v>
      </c>
    </row>
    <row r="5914" spans="1:8" x14ac:dyDescent="0.3">
      <c r="A5914" t="s">
        <v>1975</v>
      </c>
      <c r="B5914" t="s">
        <v>1976</v>
      </c>
      <c r="C5914">
        <v>2</v>
      </c>
      <c r="D5914" t="s">
        <v>1447</v>
      </c>
      <c r="E5914" t="s">
        <v>1868</v>
      </c>
      <c r="F5914" t="s">
        <v>1741</v>
      </c>
      <c r="G5914" t="str">
        <f>IF(ISBLANK('Q 6'!C79),"",IF('Q 6'!C79="&lt;please select&gt;","",'Q 6'!C79))</f>
        <v>414</v>
      </c>
    </row>
    <row r="5915" spans="1:8" x14ac:dyDescent="0.3">
      <c r="A5915" t="s">
        <v>1975</v>
      </c>
      <c r="B5915" t="s">
        <v>1976</v>
      </c>
      <c r="C5915">
        <v>3</v>
      </c>
      <c r="D5915" t="s">
        <v>1447</v>
      </c>
      <c r="E5915" t="s">
        <v>1868</v>
      </c>
      <c r="F5915" t="s">
        <v>1741</v>
      </c>
      <c r="G5915" t="str">
        <f>IF(ISBLANK('Q 6'!C80),"",IF('Q 6'!C80="&lt;please select&gt;","",'Q 6'!C80))</f>
        <v>126</v>
      </c>
    </row>
    <row r="5916" spans="1:8" x14ac:dyDescent="0.3">
      <c r="A5916" t="s">
        <v>1975</v>
      </c>
      <c r="B5916" t="s">
        <v>1976</v>
      </c>
      <c r="C5916">
        <v>4</v>
      </c>
      <c r="D5916" t="s">
        <v>1447</v>
      </c>
      <c r="E5916" t="s">
        <v>1868</v>
      </c>
      <c r="F5916" t="s">
        <v>1741</v>
      </c>
      <c r="G5916" t="str">
        <f>IF(ISBLANK('Q 6'!C81),"",IF('Q 6'!C81="&lt;please select&gt;","",'Q 6'!C81))</f>
        <v>424</v>
      </c>
    </row>
    <row r="5917" spans="1:8" x14ac:dyDescent="0.3">
      <c r="A5917" t="s">
        <v>1975</v>
      </c>
      <c r="B5917" t="s">
        <v>1976</v>
      </c>
      <c r="C5917">
        <v>5</v>
      </c>
      <c r="D5917" t="s">
        <v>1447</v>
      </c>
      <c r="E5917" t="s">
        <v>1868</v>
      </c>
      <c r="F5917" t="s">
        <v>1741</v>
      </c>
      <c r="G5917" t="str">
        <f>IF(ISBLANK('Q 6'!C82),"",IF('Q 6'!C82="&lt;please select&gt;","",'Q 6'!C82))</f>
        <v/>
      </c>
    </row>
    <row r="5918" spans="1:8" x14ac:dyDescent="0.3">
      <c r="A5918" t="s">
        <v>1975</v>
      </c>
      <c r="B5918" t="s">
        <v>1976</v>
      </c>
      <c r="C5918">
        <v>6</v>
      </c>
      <c r="D5918" t="s">
        <v>1447</v>
      </c>
      <c r="E5918" t="s">
        <v>1868</v>
      </c>
      <c r="F5918" t="s">
        <v>1741</v>
      </c>
      <c r="G5918" t="str">
        <f>IF(ISBLANK('Q 6'!C83),"",IF('Q 6'!C83="&lt;please select&gt;","",'Q 6'!C83))</f>
        <v/>
      </c>
    </row>
    <row r="5919" spans="1:8" x14ac:dyDescent="0.3">
      <c r="A5919" t="s">
        <v>1975</v>
      </c>
      <c r="B5919" t="s">
        <v>1976</v>
      </c>
      <c r="C5919">
        <v>7</v>
      </c>
      <c r="D5919" t="s">
        <v>1447</v>
      </c>
      <c r="E5919" t="s">
        <v>1868</v>
      </c>
      <c r="F5919" t="s">
        <v>1741</v>
      </c>
      <c r="G5919" t="str">
        <f>IF(ISBLANK('Q 6'!C84),"",IF('Q 6'!C84="&lt;please select&gt;","",'Q 6'!C84))</f>
        <v/>
      </c>
    </row>
    <row r="5920" spans="1:8" x14ac:dyDescent="0.3">
      <c r="A5920" t="s">
        <v>1975</v>
      </c>
      <c r="B5920" t="s">
        <v>1976</v>
      </c>
      <c r="C5920">
        <v>8</v>
      </c>
      <c r="D5920" t="s">
        <v>1447</v>
      </c>
      <c r="E5920" t="s">
        <v>1868</v>
      </c>
      <c r="F5920" t="s">
        <v>1741</v>
      </c>
      <c r="G5920" t="str">
        <f>IF(ISBLANK('Q 6'!C85),"",IF('Q 6'!C85="&lt;please select&gt;","",'Q 6'!C85))</f>
        <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176</v>
      </c>
    </row>
    <row r="5954" spans="1:9" x14ac:dyDescent="0.3">
      <c r="A5954" t="s">
        <v>1975</v>
      </c>
      <c r="B5954" t="s">
        <v>1976</v>
      </c>
      <c r="C5954">
        <v>2</v>
      </c>
      <c r="D5954" t="s">
        <v>1447</v>
      </c>
      <c r="E5954" t="s">
        <v>1977</v>
      </c>
      <c r="F5954" t="s">
        <v>1806</v>
      </c>
      <c r="I5954" s="165" t="str">
        <f>IF(ISBLANK('Q 6'!D79),"",IF('Q 6'!D79="&lt;please select&gt;","",'Q 6'!D79))</f>
        <v>0</v>
      </c>
    </row>
    <row r="5955" spans="1:9" x14ac:dyDescent="0.3">
      <c r="A5955" t="s">
        <v>1975</v>
      </c>
      <c r="B5955" t="s">
        <v>1976</v>
      </c>
      <c r="C5955">
        <v>3</v>
      </c>
      <c r="D5955" t="s">
        <v>1447</v>
      </c>
      <c r="E5955" t="s">
        <v>1977</v>
      </c>
      <c r="F5955" t="s">
        <v>1806</v>
      </c>
      <c r="I5955" s="165" t="str">
        <f>IF(ISBLANK('Q 6'!D80),"",IF('Q 6'!D80="&lt;please select&gt;","",'Q 6'!D80))</f>
        <v>0</v>
      </c>
    </row>
    <row r="5956" spans="1:9" x14ac:dyDescent="0.3">
      <c r="A5956" t="s">
        <v>1975</v>
      </c>
      <c r="B5956" t="s">
        <v>1976</v>
      </c>
      <c r="C5956">
        <v>4</v>
      </c>
      <c r="D5956" t="s">
        <v>1447</v>
      </c>
      <c r="E5956" t="s">
        <v>1977</v>
      </c>
      <c r="F5956" t="s">
        <v>1806</v>
      </c>
      <c r="I5956" s="165" t="str">
        <f>IF(ISBLANK('Q 6'!D81),"",IF('Q 6'!D81="&lt;please select&gt;","",'Q 6'!D81))</f>
        <v>0</v>
      </c>
    </row>
    <row r="5957" spans="1:9" x14ac:dyDescent="0.3">
      <c r="A5957" t="s">
        <v>1975</v>
      </c>
      <c r="B5957" t="s">
        <v>1976</v>
      </c>
      <c r="C5957">
        <v>5</v>
      </c>
      <c r="D5957" t="s">
        <v>1447</v>
      </c>
      <c r="E5957" t="s">
        <v>1977</v>
      </c>
      <c r="F5957" t="s">
        <v>1806</v>
      </c>
      <c r="I5957" s="165" t="str">
        <f>IF(ISBLANK('Q 6'!D82),"",IF('Q 6'!D82="&lt;please select&gt;","",'Q 6'!D82))</f>
        <v/>
      </c>
    </row>
    <row r="5958" spans="1:9" x14ac:dyDescent="0.3">
      <c r="A5958" t="s">
        <v>1975</v>
      </c>
      <c r="B5958" t="s">
        <v>1976</v>
      </c>
      <c r="C5958">
        <v>6</v>
      </c>
      <c r="D5958" t="s">
        <v>1447</v>
      </c>
      <c r="E5958" t="s">
        <v>1977</v>
      </c>
      <c r="F5958" t="s">
        <v>1806</v>
      </c>
      <c r="I5958" s="165" t="str">
        <f>IF(ISBLANK('Q 6'!D83),"",IF('Q 6'!D83="&lt;please select&gt;","",'Q 6'!D83))</f>
        <v/>
      </c>
    </row>
    <row r="5959" spans="1:9" x14ac:dyDescent="0.3">
      <c r="A5959" t="s">
        <v>1975</v>
      </c>
      <c r="B5959" t="s">
        <v>1976</v>
      </c>
      <c r="C5959">
        <v>7</v>
      </c>
      <c r="D5959" t="s">
        <v>1447</v>
      </c>
      <c r="E5959" t="s">
        <v>1977</v>
      </c>
      <c r="F5959" t="s">
        <v>1806</v>
      </c>
      <c r="I5959" s="165" t="str">
        <f>IF(ISBLANK('Q 6'!D84),"",IF('Q 6'!D84="&lt;please select&gt;","",'Q 6'!D84))</f>
        <v/>
      </c>
    </row>
    <row r="5960" spans="1:9" x14ac:dyDescent="0.3">
      <c r="A5960" t="s">
        <v>1975</v>
      </c>
      <c r="B5960" t="s">
        <v>1976</v>
      </c>
      <c r="C5960">
        <v>8</v>
      </c>
      <c r="D5960" t="s">
        <v>1447</v>
      </c>
      <c r="E5960" t="s">
        <v>1977</v>
      </c>
      <c r="F5960" t="s">
        <v>1806</v>
      </c>
      <c r="I5960" s="165" t="str">
        <f>IF(ISBLANK('Q 6'!D85),"",IF('Q 6'!D85="&lt;please select&gt;","",'Q 6'!D85))</f>
        <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No emission report submitted by the 31st of March</v>
      </c>
    </row>
    <row r="5994" spans="1:11" x14ac:dyDescent="0.3">
      <c r="A5994" t="s">
        <v>1975</v>
      </c>
      <c r="B5994" t="s">
        <v>1976</v>
      </c>
      <c r="C5994">
        <v>2</v>
      </c>
      <c r="D5994" t="s">
        <v>1447</v>
      </c>
      <c r="E5994" t="s">
        <v>1978</v>
      </c>
      <c r="F5994" t="s">
        <v>1737</v>
      </c>
      <c r="K5994" t="str">
        <f>IF(ISBLANK('Q 6'!E79),"",IF('Q 6'!E79="&lt;please select&gt;","",'Q 6'!E79))</f>
        <v>No emission report submitted by the 31st of March</v>
      </c>
    </row>
    <row r="5995" spans="1:11" x14ac:dyDescent="0.3">
      <c r="A5995" t="s">
        <v>1975</v>
      </c>
      <c r="B5995" t="s">
        <v>1976</v>
      </c>
      <c r="C5995">
        <v>3</v>
      </c>
      <c r="D5995" t="s">
        <v>1447</v>
      </c>
      <c r="E5995" t="s">
        <v>1978</v>
      </c>
      <c r="F5995" t="s">
        <v>1737</v>
      </c>
      <c r="K5995" t="str">
        <f>IF(ISBLANK('Q 6'!E80),"",IF('Q 6'!E80="&lt;please select&gt;","",'Q 6'!E80))</f>
        <v>No emission report submitted by the 31st of March</v>
      </c>
    </row>
    <row r="5996" spans="1:11" x14ac:dyDescent="0.3">
      <c r="A5996" t="s">
        <v>1975</v>
      </c>
      <c r="B5996" t="s">
        <v>1976</v>
      </c>
      <c r="C5996">
        <v>4</v>
      </c>
      <c r="D5996" t="s">
        <v>1447</v>
      </c>
      <c r="E5996" t="s">
        <v>1978</v>
      </c>
      <c r="F5996" t="s">
        <v>1737</v>
      </c>
      <c r="K5996" t="str">
        <f>IF(ISBLANK('Q 6'!E81),"",IF('Q 6'!E81="&lt;please select&gt;","",'Q 6'!E81))</f>
        <v>No emission report submitted by the 31st of March</v>
      </c>
    </row>
    <row r="5997" spans="1:11" x14ac:dyDescent="0.3">
      <c r="A5997" t="s">
        <v>1975</v>
      </c>
      <c r="B5997" t="s">
        <v>1976</v>
      </c>
      <c r="C5997">
        <v>5</v>
      </c>
      <c r="D5997" t="s">
        <v>1447</v>
      </c>
      <c r="E5997" t="s">
        <v>1978</v>
      </c>
      <c r="F5997" t="s">
        <v>1737</v>
      </c>
      <c r="K5997" t="str">
        <f>IF(ISBLANK('Q 6'!E82),"",IF('Q 6'!E82="&lt;please select&gt;","",'Q 6'!E82))</f>
        <v/>
      </c>
    </row>
    <row r="5998" spans="1:11" x14ac:dyDescent="0.3">
      <c r="A5998" t="s">
        <v>1975</v>
      </c>
      <c r="B5998" t="s">
        <v>1976</v>
      </c>
      <c r="C5998">
        <v>6</v>
      </c>
      <c r="D5998" t="s">
        <v>1447</v>
      </c>
      <c r="E5998" t="s">
        <v>1978</v>
      </c>
      <c r="F5998" t="s">
        <v>1737</v>
      </c>
      <c r="K5998" t="str">
        <f>IF(ISBLANK('Q 6'!E83),"",IF('Q 6'!E83="&lt;please select&gt;","",'Q 6'!E83))</f>
        <v/>
      </c>
    </row>
    <row r="5999" spans="1:11" x14ac:dyDescent="0.3">
      <c r="A5999" t="s">
        <v>1975</v>
      </c>
      <c r="B5999" t="s">
        <v>1976</v>
      </c>
      <c r="C5999">
        <v>7</v>
      </c>
      <c r="D5999" t="s">
        <v>1447</v>
      </c>
      <c r="E5999" t="s">
        <v>1978</v>
      </c>
      <c r="F5999" t="s">
        <v>1737</v>
      </c>
      <c r="K5999" t="str">
        <f>IF(ISBLANK('Q 6'!E84),"",IF('Q 6'!E84="&lt;please select&gt;","",'Q 6'!E84))</f>
        <v/>
      </c>
    </row>
    <row r="6000" spans="1:11" x14ac:dyDescent="0.3">
      <c r="A6000" t="s">
        <v>1975</v>
      </c>
      <c r="B6000" t="s">
        <v>1976</v>
      </c>
      <c r="C6000">
        <v>8</v>
      </c>
      <c r="D6000" t="s">
        <v>1447</v>
      </c>
      <c r="E6000" t="s">
        <v>1978</v>
      </c>
      <c r="F6000" t="s">
        <v>1737</v>
      </c>
      <c r="K6000" t="str">
        <f>IF(ISBLANK('Q 6'!E85),"",IF('Q 6'!E85="&lt;please select&gt;","",'Q 6'!E85))</f>
        <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1</v>
      </c>
    </row>
    <row r="6034" spans="1:9" x14ac:dyDescent="0.3">
      <c r="A6034" t="s">
        <v>1975</v>
      </c>
      <c r="B6034" t="s">
        <v>1976</v>
      </c>
      <c r="C6034">
        <v>2</v>
      </c>
      <c r="D6034" t="s">
        <v>1447</v>
      </c>
      <c r="E6034" t="s">
        <v>1979</v>
      </c>
      <c r="F6034" t="s">
        <v>1806</v>
      </c>
      <c r="I6034" s="166" t="str">
        <f>IF(ISBLANK('Q 6'!F79),"",IF('Q 6'!F79="&lt;please select&gt;","",'Q 6'!F79))</f>
        <v>1</v>
      </c>
    </row>
    <row r="6035" spans="1:9" x14ac:dyDescent="0.3">
      <c r="A6035" t="s">
        <v>1975</v>
      </c>
      <c r="B6035" t="s">
        <v>1976</v>
      </c>
      <c r="C6035">
        <v>3</v>
      </c>
      <c r="D6035" t="s">
        <v>1447</v>
      </c>
      <c r="E6035" t="s">
        <v>1979</v>
      </c>
      <c r="F6035" t="s">
        <v>1806</v>
      </c>
      <c r="I6035" s="166" t="str">
        <f>IF(ISBLANK('Q 6'!F80),"",IF('Q 6'!F80="&lt;please select&gt;","",'Q 6'!F80))</f>
        <v>1</v>
      </c>
    </row>
    <row r="6036" spans="1:9" x14ac:dyDescent="0.3">
      <c r="A6036" t="s">
        <v>1975</v>
      </c>
      <c r="B6036" t="s">
        <v>1976</v>
      </c>
      <c r="C6036">
        <v>4</v>
      </c>
      <c r="D6036" t="s">
        <v>1447</v>
      </c>
      <c r="E6036" t="s">
        <v>1979</v>
      </c>
      <c r="F6036" t="s">
        <v>1806</v>
      </c>
      <c r="I6036" s="166" t="str">
        <f>IF(ISBLANK('Q 6'!F81),"",IF('Q 6'!F81="&lt;please select&gt;","",'Q 6'!F81))</f>
        <v>1</v>
      </c>
    </row>
    <row r="6037" spans="1:9" x14ac:dyDescent="0.3">
      <c r="A6037" t="s">
        <v>1975</v>
      </c>
      <c r="B6037" t="s">
        <v>1976</v>
      </c>
      <c r="C6037">
        <v>5</v>
      </c>
      <c r="D6037" t="s">
        <v>1447</v>
      </c>
      <c r="E6037" t="s">
        <v>1979</v>
      </c>
      <c r="F6037" t="s">
        <v>1806</v>
      </c>
      <c r="I6037" s="166" t="str">
        <f>IF(ISBLANK('Q 6'!F82),"",IF('Q 6'!F82="&lt;please select&gt;","",'Q 6'!F82))</f>
        <v/>
      </c>
    </row>
    <row r="6038" spans="1:9" x14ac:dyDescent="0.3">
      <c r="A6038" t="s">
        <v>1975</v>
      </c>
      <c r="B6038" t="s">
        <v>1976</v>
      </c>
      <c r="C6038">
        <v>6</v>
      </c>
      <c r="D6038" t="s">
        <v>1447</v>
      </c>
      <c r="E6038" t="s">
        <v>1979</v>
      </c>
      <c r="F6038" t="s">
        <v>1806</v>
      </c>
      <c r="I6038" s="166" t="str">
        <f>IF(ISBLANK('Q 6'!F83),"",IF('Q 6'!F83="&lt;please select&gt;","",'Q 6'!F83))</f>
        <v/>
      </c>
    </row>
    <row r="6039" spans="1:9" x14ac:dyDescent="0.3">
      <c r="A6039" t="s">
        <v>1975</v>
      </c>
      <c r="B6039" t="s">
        <v>1976</v>
      </c>
      <c r="C6039">
        <v>7</v>
      </c>
      <c r="D6039" t="s">
        <v>1447</v>
      </c>
      <c r="E6039" t="s">
        <v>1979</v>
      </c>
      <c r="F6039" t="s">
        <v>1806</v>
      </c>
      <c r="I6039" s="166" t="str">
        <f>IF(ISBLANK('Q 6'!F84),"",IF('Q 6'!F84="&lt;please select&gt;","",'Q 6'!F84))</f>
        <v/>
      </c>
    </row>
    <row r="6040" spans="1:9" x14ac:dyDescent="0.3">
      <c r="A6040" t="s">
        <v>1975</v>
      </c>
      <c r="B6040" t="s">
        <v>1976</v>
      </c>
      <c r="C6040">
        <v>8</v>
      </c>
      <c r="D6040" t="s">
        <v>1447</v>
      </c>
      <c r="E6040" t="s">
        <v>1979</v>
      </c>
      <c r="F6040" t="s">
        <v>1806</v>
      </c>
      <c r="I6040" s="166" t="str">
        <f>IF(ISBLANK('Q 6'!F85),"",IF('Q 6'!F85="&lt;please select&gt;","",'Q 6'!F85))</f>
        <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Calculation based on the data from previous years</v>
      </c>
    </row>
    <row r="6074" spans="1:9" x14ac:dyDescent="0.3">
      <c r="A6074" t="s">
        <v>1975</v>
      </c>
      <c r="B6074" t="s">
        <v>1976</v>
      </c>
      <c r="C6074">
        <v>2</v>
      </c>
      <c r="D6074" t="s">
        <v>1447</v>
      </c>
      <c r="E6074" t="s">
        <v>1980</v>
      </c>
      <c r="F6074" t="s">
        <v>1741</v>
      </c>
      <c r="G6074" t="str">
        <f>IF(ISBLANK('Q 6'!G79),"",IF('Q 6'!G79="&lt;please select&gt;","",'Q 6'!G79))</f>
        <v>No active emission sources = 0 t emissions.</v>
      </c>
    </row>
    <row r="6075" spans="1:9" x14ac:dyDescent="0.3">
      <c r="A6075" t="s">
        <v>1975</v>
      </c>
      <c r="B6075" t="s">
        <v>1976</v>
      </c>
      <c r="C6075">
        <v>3</v>
      </c>
      <c r="D6075" t="s">
        <v>1447</v>
      </c>
      <c r="E6075" t="s">
        <v>1980</v>
      </c>
      <c r="F6075" t="s">
        <v>1741</v>
      </c>
      <c r="G6075" t="str">
        <f>IF(ISBLANK('Q 6'!G80),"",IF('Q 6'!G80="&lt;please select&gt;","",'Q 6'!G80))</f>
        <v>Merger of installations – all emissions encompassed in another emission report. No remaining active emission sources = 0 t emissions.</v>
      </c>
    </row>
    <row r="6076" spans="1:9" x14ac:dyDescent="0.3">
      <c r="A6076" t="s">
        <v>1975</v>
      </c>
      <c r="B6076" t="s">
        <v>1976</v>
      </c>
      <c r="C6076">
        <v>4</v>
      </c>
      <c r="D6076" t="s">
        <v>1447</v>
      </c>
      <c r="E6076" t="s">
        <v>1980</v>
      </c>
      <c r="F6076" t="s">
        <v>1741</v>
      </c>
      <c r="G6076" t="str">
        <f>IF(ISBLANK('Q 6'!G81),"",IF('Q 6'!G81="&lt;please select&gt;","",'Q 6'!G81))</f>
        <v>Merger of installations – all emissions encompassed in another emission report. No remaining active emission sources = 0 t emissions.</v>
      </c>
    </row>
    <row r="6077" spans="1:9" x14ac:dyDescent="0.3">
      <c r="A6077" t="s">
        <v>1975</v>
      </c>
      <c r="B6077" t="s">
        <v>1976</v>
      </c>
      <c r="C6077">
        <v>5</v>
      </c>
      <c r="D6077" t="s">
        <v>1447</v>
      </c>
      <c r="E6077" t="s">
        <v>1980</v>
      </c>
      <c r="F6077" t="s">
        <v>1741</v>
      </c>
      <c r="G6077" t="str">
        <f>IF(ISBLANK('Q 6'!G82),"",IF('Q 6'!G82="&lt;please select&gt;","",'Q 6'!G82))</f>
        <v/>
      </c>
    </row>
    <row r="6078" spans="1:9" x14ac:dyDescent="0.3">
      <c r="A6078" t="s">
        <v>1975</v>
      </c>
      <c r="B6078" t="s">
        <v>1976</v>
      </c>
      <c r="C6078">
        <v>6</v>
      </c>
      <c r="D6078" t="s">
        <v>1447</v>
      </c>
      <c r="E6078" t="s">
        <v>1980</v>
      </c>
      <c r="F6078" t="s">
        <v>1741</v>
      </c>
      <c r="G6078" t="str">
        <f>IF(ISBLANK('Q 6'!G83),"",IF('Q 6'!G83="&lt;please select&gt;","",'Q 6'!G83))</f>
        <v/>
      </c>
    </row>
    <row r="6079" spans="1:9" x14ac:dyDescent="0.3">
      <c r="A6079" t="s">
        <v>1975</v>
      </c>
      <c r="B6079" t="s">
        <v>1976</v>
      </c>
      <c r="C6079">
        <v>7</v>
      </c>
      <c r="D6079" t="s">
        <v>1447</v>
      </c>
      <c r="E6079" t="s">
        <v>1980</v>
      </c>
      <c r="F6079" t="s">
        <v>1741</v>
      </c>
      <c r="G6079" t="str">
        <f>IF(ISBLANK('Q 6'!G84),"",IF('Q 6'!G84="&lt;please select&gt;","",'Q 6'!G84))</f>
        <v/>
      </c>
    </row>
    <row r="6080" spans="1:9" x14ac:dyDescent="0.3">
      <c r="A6080" t="s">
        <v>1975</v>
      </c>
      <c r="B6080" t="s">
        <v>1976</v>
      </c>
      <c r="C6080">
        <v>8</v>
      </c>
      <c r="D6080" t="s">
        <v>1447</v>
      </c>
      <c r="E6080" t="s">
        <v>1980</v>
      </c>
      <c r="F6080" t="s">
        <v>1741</v>
      </c>
      <c r="G6080" t="str">
        <f>IF(ISBLANK('Q 6'!G85),"",IF('Q 6'!G85="&lt;please select&gt;","",'Q 6'!G85))</f>
        <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Reminder or formal warnings on sanctions sent to operator</v>
      </c>
    </row>
    <row r="6114" spans="1:11" x14ac:dyDescent="0.3">
      <c r="A6114" t="s">
        <v>1975</v>
      </c>
      <c r="B6114" t="s">
        <v>1976</v>
      </c>
      <c r="C6114">
        <v>2</v>
      </c>
      <c r="D6114" t="s">
        <v>1447</v>
      </c>
      <c r="E6114" t="s">
        <v>1981</v>
      </c>
      <c r="F6114" t="s">
        <v>1737</v>
      </c>
      <c r="K6114" t="str">
        <f>IF(ISBLANK('Q 6'!H79),"",IF('Q 6'!H79="&lt;please select&gt;","",'Q 6'!H79))</f>
        <v>Other, please specify in the column on the right</v>
      </c>
    </row>
    <row r="6115" spans="1:11" x14ac:dyDescent="0.3">
      <c r="A6115" t="s">
        <v>1975</v>
      </c>
      <c r="B6115" t="s">
        <v>1976</v>
      </c>
      <c r="C6115">
        <v>3</v>
      </c>
      <c r="D6115" t="s">
        <v>1447</v>
      </c>
      <c r="E6115" t="s">
        <v>1981</v>
      </c>
      <c r="F6115" t="s">
        <v>1737</v>
      </c>
      <c r="K6115" t="str">
        <f>IF(ISBLANK('Q 6'!H80),"",IF('Q 6'!H80="&lt;please select&gt;","",'Q 6'!H80))</f>
        <v>Other, please specify in the column on the right</v>
      </c>
    </row>
    <row r="6116" spans="1:11" x14ac:dyDescent="0.3">
      <c r="A6116" t="s">
        <v>1975</v>
      </c>
      <c r="B6116" t="s">
        <v>1976</v>
      </c>
      <c r="C6116">
        <v>4</v>
      </c>
      <c r="D6116" t="s">
        <v>1447</v>
      </c>
      <c r="E6116" t="s">
        <v>1981</v>
      </c>
      <c r="F6116" t="s">
        <v>1737</v>
      </c>
      <c r="K6116" t="str">
        <f>IF(ISBLANK('Q 6'!H81),"",IF('Q 6'!H81="&lt;please select&gt;","",'Q 6'!H81))</f>
        <v>Other, please specify in the column on the right</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The installation has been previously excluded from the EU ETS due to the decrease of the total thermal input in the end of 2020, but the emission permit validity encompassed a part of the year 2021. After the reminder and the conservative estimation, the operator surrendered all required allowances.</v>
      </c>
    </row>
    <row r="6154" spans="1:11" x14ac:dyDescent="0.3">
      <c r="A6154" t="s">
        <v>1975</v>
      </c>
      <c r="B6154" t="s">
        <v>1976</v>
      </c>
      <c r="C6154">
        <v>2</v>
      </c>
      <c r="D6154" t="s">
        <v>1447</v>
      </c>
      <c r="E6154" t="s">
        <v>1982</v>
      </c>
      <c r="F6154" t="s">
        <v>1741</v>
      </c>
      <c r="G6154" t="str">
        <f>IF(ISBLANK('Q 6'!I79),"",IF('Q 6'!I79="&lt;please select&gt;","",'Q 6'!I79))</f>
        <v>The installation ceased operation already in 2020, but the emission permit validity encompassed a part of the year 2021.</v>
      </c>
    </row>
    <row r="6155" spans="1:11" x14ac:dyDescent="0.3">
      <c r="A6155" t="s">
        <v>1975</v>
      </c>
      <c r="B6155" t="s">
        <v>1976</v>
      </c>
      <c r="C6155">
        <v>3</v>
      </c>
      <c r="D6155" t="s">
        <v>1447</v>
      </c>
      <c r="E6155" t="s">
        <v>1982</v>
      </c>
      <c r="F6155" t="s">
        <v>1741</v>
      </c>
      <c r="G6155" t="str">
        <f>IF(ISBLANK('Q 6'!I80),"",IF('Q 6'!I80="&lt;please select&gt;","",'Q 6'!I80))</f>
        <v>The installation mergered with the installation 127, but the emission permit for installation 126 was valid for a part of 2021. Emissions reported in the report for installation 127.</v>
      </c>
    </row>
    <row r="6156" spans="1:11" x14ac:dyDescent="0.3">
      <c r="A6156" t="s">
        <v>1975</v>
      </c>
      <c r="B6156" t="s">
        <v>1976</v>
      </c>
      <c r="C6156">
        <v>4</v>
      </c>
      <c r="D6156" t="s">
        <v>1447</v>
      </c>
      <c r="E6156" t="s">
        <v>1982</v>
      </c>
      <c r="F6156" t="s">
        <v>1741</v>
      </c>
      <c r="G6156" t="str">
        <f>IF(ISBLANK('Q 6'!I81),"",IF('Q 6'!I81="&lt;please select&gt;","",'Q 6'!I81))</f>
        <v>The installation mergered with the installation 121, but the emission permit for installation 424 was valid for a part of 2021. Emissions reported in the report for installation 121.</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4</v>
      </c>
    </row>
    <row r="6194" spans="1:11" x14ac:dyDescent="0.3">
      <c r="A6194" t="s">
        <v>1975</v>
      </c>
      <c r="B6194" t="s">
        <v>1983</v>
      </c>
      <c r="C6194">
        <v>2</v>
      </c>
      <c r="D6194" t="s">
        <v>1447</v>
      </c>
      <c r="E6194" t="s">
        <v>1984</v>
      </c>
      <c r="F6194" t="s">
        <v>1748</v>
      </c>
      <c r="H6194" s="165" t="str">
        <f>IF(ISBLANK('Q 6'!H126),"",IF('Q 6'!H126="&lt;please select&gt;","",'Q 6'!H126))</f>
        <v>0</v>
      </c>
    </row>
    <row r="6195" spans="1:11" x14ac:dyDescent="0.3">
      <c r="A6195" t="s">
        <v>1975</v>
      </c>
      <c r="B6195" t="s">
        <v>1983</v>
      </c>
      <c r="C6195">
        <v>3</v>
      </c>
      <c r="D6195" t="s">
        <v>1447</v>
      </c>
      <c r="E6195" t="s">
        <v>1984</v>
      </c>
      <c r="F6195" t="s">
        <v>1748</v>
      </c>
      <c r="H6195" s="165" t="str">
        <f>IF(ISBLANK('Q 6'!H127),"",IF('Q 6'!H127="&lt;please select&gt;","",'Q 6'!H127))</f>
        <v>0</v>
      </c>
    </row>
    <row r="6196" spans="1:11" x14ac:dyDescent="0.3">
      <c r="A6196" t="s">
        <v>1975</v>
      </c>
      <c r="B6196" t="s">
        <v>1983</v>
      </c>
      <c r="C6196">
        <v>4</v>
      </c>
      <c r="D6196" t="s">
        <v>1447</v>
      </c>
      <c r="E6196" t="s">
        <v>1984</v>
      </c>
      <c r="F6196" t="s">
        <v>1748</v>
      </c>
      <c r="H6196" s="165" t="str">
        <f>IF(ISBLANK('Q 6'!H128),"",IF('Q 6'!H128="&lt;please select&gt;","",'Q 6'!H128))</f>
        <v>0</v>
      </c>
    </row>
    <row r="6197" spans="1:11" x14ac:dyDescent="0.3">
      <c r="A6197" t="s">
        <v>1985</v>
      </c>
      <c r="B6197" t="s">
        <v>1986</v>
      </c>
      <c r="C6197">
        <v>0</v>
      </c>
      <c r="D6197" t="s">
        <v>1447</v>
      </c>
      <c r="E6197" t="s">
        <v>1986</v>
      </c>
      <c r="F6197" t="s">
        <v>1759</v>
      </c>
      <c r="K6197" t="str">
        <f>IF(ISBLANK('Q 6'!$I$130),"",IF('Q 6'!$I$130="&lt;please select&gt;","",'Q 6'!$I$130))</f>
        <v>Yes</v>
      </c>
    </row>
    <row r="6198" spans="1:11" x14ac:dyDescent="0.3">
      <c r="A6198" t="s">
        <v>1985</v>
      </c>
      <c r="B6198" t="s">
        <v>1987</v>
      </c>
      <c r="C6198">
        <v>1</v>
      </c>
      <c r="D6198" t="s">
        <v>1447</v>
      </c>
      <c r="E6198" t="s">
        <v>1988</v>
      </c>
      <c r="F6198" t="s">
        <v>1737</v>
      </c>
      <c r="K6198" t="str">
        <f>IF(ISBLANK('Q 6'!C133),"",IF('Q 6'!C133="&lt;please select&gt;","",'Q 6'!C133))</f>
        <v>20 - Combustion of fuels as specified in Annex I of Directive 2003/87/EC</v>
      </c>
    </row>
    <row r="6199" spans="1:11" x14ac:dyDescent="0.3">
      <c r="A6199" t="s">
        <v>1985</v>
      </c>
      <c r="B6199" t="s">
        <v>1987</v>
      </c>
      <c r="C6199">
        <v>2</v>
      </c>
      <c r="D6199" t="s">
        <v>1447</v>
      </c>
      <c r="E6199" t="s">
        <v>1988</v>
      </c>
      <c r="F6199" t="s">
        <v>1737</v>
      </c>
      <c r="K6199" t="str">
        <f>IF(ISBLANK('Q 6'!C134),"",IF('Q 6'!C134="&lt;please select&gt;","",'Q 6'!C134))</f>
        <v>29 - Production of cement clinker in rotary kilns as specified in Annex I of Directive 2003/87/ EC</v>
      </c>
    </row>
    <row r="6200" spans="1:11" x14ac:dyDescent="0.3">
      <c r="A6200" t="s">
        <v>1985</v>
      </c>
      <c r="B6200" t="s">
        <v>1987</v>
      </c>
      <c r="C6200">
        <v>3</v>
      </c>
      <c r="D6200" t="s">
        <v>1447</v>
      </c>
      <c r="E6200" t="s">
        <v>1988</v>
      </c>
      <c r="F6200" t="s">
        <v>1737</v>
      </c>
      <c r="K6200" t="str">
        <f>IF(ISBLANK('Q 6'!C135),"",IF('Q 6'!C135="&lt;please select&gt;","",'Q 6'!C135))</f>
        <v>32 - Manufacture of ceramic products as specified in Annex I of Directive 2003/87/EC</v>
      </c>
    </row>
    <row r="6201" spans="1:11" x14ac:dyDescent="0.3">
      <c r="A6201" t="s">
        <v>1985</v>
      </c>
      <c r="B6201" t="s">
        <v>1987</v>
      </c>
      <c r="C6201">
        <v>4</v>
      </c>
      <c r="D6201" t="s">
        <v>1447</v>
      </c>
      <c r="E6201" t="s">
        <v>1988</v>
      </c>
      <c r="F6201" t="s">
        <v>1737</v>
      </c>
      <c r="K6201" t="str">
        <f>IF(ISBLANK('Q 6'!C136),"",IF('Q 6'!C136="&lt;please select&gt;","",'Q 6'!C136))</f>
        <v xml:space="preserve">36 - Production of paper or cardboard as specified in Annex I of Directive 2003/87/EC </v>
      </c>
    </row>
    <row r="6202" spans="1:11" x14ac:dyDescent="0.3">
      <c r="A6202" t="s">
        <v>1985</v>
      </c>
      <c r="B6202" t="s">
        <v>1987</v>
      </c>
      <c r="C6202">
        <v>5</v>
      </c>
      <c r="D6202" t="s">
        <v>1447</v>
      </c>
      <c r="E6202" t="s">
        <v>1988</v>
      </c>
      <c r="F6202" t="s">
        <v>1737</v>
      </c>
      <c r="K6202" t="str">
        <f>IF(ISBLANK('Q 6'!C137),"",IF('Q 6'!C137="&lt;please select&gt;","",'Q 6'!C137))</f>
        <v>20 - Combustion of fuels as specified in Annex I of Directive 2003/87/EC</v>
      </c>
    </row>
    <row r="6203" spans="1:11" x14ac:dyDescent="0.3">
      <c r="A6203" t="s">
        <v>1985</v>
      </c>
      <c r="B6203" t="s">
        <v>1987</v>
      </c>
      <c r="C6203">
        <v>6</v>
      </c>
      <c r="D6203" t="s">
        <v>1447</v>
      </c>
      <c r="E6203" t="s">
        <v>1988</v>
      </c>
      <c r="F6203" t="s">
        <v>1737</v>
      </c>
      <c r="K6203" t="str">
        <f>IF(ISBLANK('Q 6'!C138),"",IF('Q 6'!C138="&lt;please select&gt;","",'Q 6'!C138))</f>
        <v>32 - Manufacture of ceramic products as specified in Annex I of Directive 2003/87/EC</v>
      </c>
    </row>
    <row r="6204" spans="1:11" x14ac:dyDescent="0.3">
      <c r="A6204" t="s">
        <v>1985</v>
      </c>
      <c r="B6204" t="s">
        <v>1987</v>
      </c>
      <c r="C6204">
        <v>7</v>
      </c>
      <c r="D6204" t="s">
        <v>1447</v>
      </c>
      <c r="E6204" t="s">
        <v>1988</v>
      </c>
      <c r="F6204" t="s">
        <v>1737</v>
      </c>
      <c r="K6204" t="str">
        <f>IF(ISBLANK('Q 6'!C139),"",IF('Q 6'!C139="&lt;please select&gt;","",'Q 6'!C139))</f>
        <v>33 - Manufacture of mineral wool insulation material using glass, rock or slag as specified in Annex I of Directive 2003/87/EC</v>
      </c>
    </row>
    <row r="6205" spans="1:11" x14ac:dyDescent="0.3">
      <c r="A6205" t="s">
        <v>1985</v>
      </c>
      <c r="B6205" t="s">
        <v>1987</v>
      </c>
      <c r="C6205">
        <v>8</v>
      </c>
      <c r="D6205" t="s">
        <v>1447</v>
      </c>
      <c r="E6205" t="s">
        <v>1988</v>
      </c>
      <c r="F6205" t="s">
        <v>1737</v>
      </c>
      <c r="K6205" t="str">
        <f>IF(ISBLANK('Q 6'!C140),"",IF('Q 6'!C140="&lt;please select&gt;","",'Q 6'!C140))</f>
        <v>25 - Production or processing of ferrous metals as specified in Annex I of Directive 2003/87/EC</v>
      </c>
    </row>
    <row r="6206" spans="1:11" x14ac:dyDescent="0.3">
      <c r="A6206" t="s">
        <v>1985</v>
      </c>
      <c r="B6206" t="s">
        <v>1987</v>
      </c>
      <c r="C6206">
        <v>9</v>
      </c>
      <c r="D6206" t="s">
        <v>1447</v>
      </c>
      <c r="E6206" t="s">
        <v>1988</v>
      </c>
      <c r="F6206" t="s">
        <v>1737</v>
      </c>
      <c r="K6206" t="str">
        <f>IF(ISBLANK('Q 6'!C141),"",IF('Q 6'!C141="&lt;please select&gt;","",'Q 6'!C141))</f>
        <v>31 - Manufacture of glass as specified in Annex I of Directive 2003/87/EC</v>
      </c>
    </row>
    <row r="6207" spans="1:11" x14ac:dyDescent="0.3">
      <c r="A6207" t="s">
        <v>1985</v>
      </c>
      <c r="B6207" t="s">
        <v>1987</v>
      </c>
      <c r="C6207">
        <v>10</v>
      </c>
      <c r="D6207" t="s">
        <v>1447</v>
      </c>
      <c r="E6207" t="s">
        <v>1988</v>
      </c>
      <c r="F6207" t="s">
        <v>1737</v>
      </c>
      <c r="K6207" t="str">
        <f>IF(ISBLANK('Q 6'!C142),"",IF('Q 6'!C142="&lt;please select&gt;","",'Q 6'!C142))</f>
        <v>24 - Production of pig iron or steel as specified in Annex I of Directive 2003/87/EC</v>
      </c>
    </row>
    <row r="6208" spans="1:11" x14ac:dyDescent="0.3">
      <c r="A6208" t="s">
        <v>1985</v>
      </c>
      <c r="B6208" t="s">
        <v>1987</v>
      </c>
      <c r="C6208">
        <v>11</v>
      </c>
      <c r="D6208" t="s">
        <v>1447</v>
      </c>
      <c r="E6208" t="s">
        <v>1988</v>
      </c>
      <c r="F6208" t="s">
        <v>1737</v>
      </c>
      <c r="K6208" t="str">
        <f>IF(ISBLANK('Q 6'!C143),"",IF('Q 6'!C143="&lt;please select&gt;","",'Q 6'!C143))</f>
        <v xml:space="preserve">43 - Production of hydrogen (H2) and synthesis gas as specified in Annex I of Directive 2003/87/EC </v>
      </c>
    </row>
    <row r="6209" spans="1:11" x14ac:dyDescent="0.3">
      <c r="A6209" t="s">
        <v>1985</v>
      </c>
      <c r="B6209" t="s">
        <v>1987</v>
      </c>
      <c r="C6209">
        <v>12</v>
      </c>
      <c r="D6209" t="s">
        <v>1447</v>
      </c>
      <c r="E6209" t="s">
        <v>1988</v>
      </c>
      <c r="F6209" t="s">
        <v>1737</v>
      </c>
      <c r="K6209" t="str">
        <f>IF(ISBLANK('Q 6'!C144),"",IF('Q 6'!C144="&lt;please select&gt;","",'Q 6'!C144))</f>
        <v xml:space="preserve">22 - Production of coke </v>
      </c>
    </row>
    <row r="6210" spans="1:11" x14ac:dyDescent="0.3">
      <c r="A6210" t="s">
        <v>1985</v>
      </c>
      <c r="B6210" t="s">
        <v>1987</v>
      </c>
      <c r="C6210">
        <v>13</v>
      </c>
      <c r="D6210" t="s">
        <v>1447</v>
      </c>
      <c r="E6210" t="s">
        <v>1988</v>
      </c>
      <c r="F6210" t="s">
        <v>1737</v>
      </c>
      <c r="K6210" t="str">
        <f>IF(ISBLANK('Q 6'!C145),"",IF('Q 6'!C145="&lt;please select&gt;","",'Q 6'!C145))</f>
        <v>21 - Refining of mineral oil</v>
      </c>
    </row>
    <row r="6211" spans="1:11" x14ac:dyDescent="0.3">
      <c r="A6211" t="s">
        <v>1985</v>
      </c>
      <c r="B6211" t="s">
        <v>1987</v>
      </c>
      <c r="C6211">
        <v>14</v>
      </c>
      <c r="D6211" t="s">
        <v>1447</v>
      </c>
      <c r="E6211" t="s">
        <v>1988</v>
      </c>
      <c r="F6211" t="s">
        <v>1737</v>
      </c>
      <c r="K6211" t="str">
        <f>IF(ISBLANK('Q 6'!C146),"",IF('Q 6'!C146="&lt;please select&gt;","",'Q 6'!C146))</f>
        <v>20 - Combustion of fuels as specified in Annex I of Directive 2003/87/EC</v>
      </c>
    </row>
    <row r="6212" spans="1:11" x14ac:dyDescent="0.3">
      <c r="A6212" t="s">
        <v>1985</v>
      </c>
      <c r="B6212" t="s">
        <v>1987</v>
      </c>
      <c r="C6212">
        <v>15</v>
      </c>
      <c r="D6212" t="s">
        <v>1447</v>
      </c>
      <c r="E6212" t="s">
        <v>1988</v>
      </c>
      <c r="F6212" t="s">
        <v>1737</v>
      </c>
      <c r="K6212" t="str">
        <f>IF(ISBLANK('Q 6'!C147),"",IF('Q 6'!C147="&lt;please select&gt;","",'Q 6'!C147))</f>
        <v>29 - Production of cement clinker in rotary kilns as specified in Annex I of Directive 2003/87/ EC</v>
      </c>
    </row>
    <row r="6213" spans="1:11" x14ac:dyDescent="0.3">
      <c r="A6213" t="s">
        <v>1985</v>
      </c>
      <c r="B6213" t="s">
        <v>1987</v>
      </c>
      <c r="C6213">
        <v>16</v>
      </c>
      <c r="D6213" t="s">
        <v>1447</v>
      </c>
      <c r="E6213" t="s">
        <v>1988</v>
      </c>
      <c r="F6213" t="s">
        <v>1737</v>
      </c>
      <c r="K6213" t="str">
        <f>IF(ISBLANK('Q 6'!C148),"",IF('Q 6'!C148="&lt;please select&gt;","",'Q 6'!C148))</f>
        <v>32 - Manufacture of ceramic products as specified in Annex I of Directive 2003/87/EC</v>
      </c>
    </row>
    <row r="6214" spans="1:11" x14ac:dyDescent="0.3">
      <c r="A6214" t="s">
        <v>1985</v>
      </c>
      <c r="B6214" t="s">
        <v>1987</v>
      </c>
      <c r="C6214">
        <v>17</v>
      </c>
      <c r="D6214" t="s">
        <v>1447</v>
      </c>
      <c r="E6214" t="s">
        <v>1988</v>
      </c>
      <c r="F6214" t="s">
        <v>1737</v>
      </c>
      <c r="K6214" t="str">
        <f>IF(ISBLANK('Q 6'!C149),"",IF('Q 6'!C149="&lt;please select&gt;","",'Q 6'!C149))</f>
        <v xml:space="preserve">22 - Production of coke </v>
      </c>
    </row>
    <row r="6215" spans="1:11" x14ac:dyDescent="0.3">
      <c r="A6215" t="s">
        <v>1985</v>
      </c>
      <c r="B6215" t="s">
        <v>1987</v>
      </c>
      <c r="C6215">
        <v>18</v>
      </c>
      <c r="D6215" t="s">
        <v>1447</v>
      </c>
      <c r="E6215" t="s">
        <v>1988</v>
      </c>
      <c r="F6215" t="s">
        <v>1737</v>
      </c>
      <c r="K6215" t="str">
        <f>IF(ISBLANK('Q 6'!C150),"",IF('Q 6'!C150="&lt;please select&gt;","",'Q 6'!C150))</f>
        <v>25 - Production or processing of ferrous metals as specified in Annex I of Directive 2003/87/EC</v>
      </c>
    </row>
    <row r="6216" spans="1:11" x14ac:dyDescent="0.3">
      <c r="A6216" t="s">
        <v>1985</v>
      </c>
      <c r="B6216" t="s">
        <v>1987</v>
      </c>
      <c r="C6216">
        <v>19</v>
      </c>
      <c r="D6216" t="s">
        <v>1447</v>
      </c>
      <c r="E6216" t="s">
        <v>1988</v>
      </c>
      <c r="F6216" t="s">
        <v>1737</v>
      </c>
      <c r="K6216" t="str">
        <f>IF(ISBLANK('Q 6'!C151),"",IF('Q 6'!C151="&lt;please select&gt;","",'Q 6'!C151))</f>
        <v>31 - Manufacture of glass as specified in Annex I of Directive 2003/87/EC</v>
      </c>
    </row>
    <row r="6217" spans="1:11" x14ac:dyDescent="0.3">
      <c r="A6217" t="s">
        <v>1985</v>
      </c>
      <c r="B6217" t="s">
        <v>1987</v>
      </c>
      <c r="C6217">
        <v>20</v>
      </c>
      <c r="D6217" t="s">
        <v>1447</v>
      </c>
      <c r="E6217" t="s">
        <v>1988</v>
      </c>
      <c r="F6217" t="s">
        <v>1737</v>
      </c>
      <c r="K6217" t="str">
        <f>IF(ISBLANK('Q 6'!C152),"",IF('Q 6'!C152="&lt;please select&gt;","",'Q 6'!C152))</f>
        <v>24 - Production of pig iron or steel as specified in Annex I of Directive 2003/87/EC</v>
      </c>
    </row>
    <row r="6218" spans="1:11" x14ac:dyDescent="0.3">
      <c r="A6218" t="s">
        <v>1985</v>
      </c>
      <c r="B6218" t="s">
        <v>1987</v>
      </c>
      <c r="C6218">
        <v>21</v>
      </c>
      <c r="D6218" t="s">
        <v>1447</v>
      </c>
      <c r="E6218" t="s">
        <v>1988</v>
      </c>
      <c r="F6218" t="s">
        <v>1737</v>
      </c>
      <c r="K6218" t="str">
        <f>IF(ISBLANK('Q 6'!C153),"",IF('Q 6'!C153="&lt;please select&gt;","",'Q 6'!C153))</f>
        <v>30 - Production of lime or calcination of dolomite or magnesite as specified in Annex I of Directive 2003/87/ EC</v>
      </c>
    </row>
    <row r="6219" spans="1:11" x14ac:dyDescent="0.3">
      <c r="A6219" t="s">
        <v>1985</v>
      </c>
      <c r="B6219" t="s">
        <v>1987</v>
      </c>
      <c r="C6219">
        <v>22</v>
      </c>
      <c r="D6219" t="s">
        <v>1447</v>
      </c>
      <c r="E6219" t="s">
        <v>1988</v>
      </c>
      <c r="F6219" t="s">
        <v>1737</v>
      </c>
      <c r="K6219" t="str">
        <f>IF(ISBLANK('Q 6'!C154),"",IF('Q 6'!C154="&lt;please select&gt;","",'Q 6'!C154))</f>
        <v/>
      </c>
    </row>
    <row r="6220" spans="1:11" x14ac:dyDescent="0.3">
      <c r="A6220" t="s">
        <v>1985</v>
      </c>
      <c r="B6220" t="s">
        <v>1987</v>
      </c>
      <c r="C6220">
        <v>23</v>
      </c>
      <c r="D6220" t="s">
        <v>1447</v>
      </c>
      <c r="E6220" t="s">
        <v>1988</v>
      </c>
      <c r="F6220" t="s">
        <v>1737</v>
      </c>
      <c r="K6220" t="str">
        <f>IF(ISBLANK('Q 6'!C155),"",IF('Q 6'!C155="&lt;please select&gt;","",'Q 6'!C155))</f>
        <v/>
      </c>
    </row>
    <row r="6221" spans="1:11" x14ac:dyDescent="0.3">
      <c r="A6221" t="s">
        <v>1985</v>
      </c>
      <c r="B6221" t="s">
        <v>1987</v>
      </c>
      <c r="C6221">
        <v>24</v>
      </c>
      <c r="D6221" t="s">
        <v>1447</v>
      </c>
      <c r="E6221" t="s">
        <v>1988</v>
      </c>
      <c r="F6221" t="s">
        <v>1737</v>
      </c>
      <c r="K6221" t="str">
        <f>IF(ISBLANK('Q 6'!C156),"",IF('Q 6'!C156="&lt;please select&gt;","",'Q 6'!C156))</f>
        <v/>
      </c>
    </row>
    <row r="6222" spans="1:11" x14ac:dyDescent="0.3">
      <c r="A6222" t="s">
        <v>1985</v>
      </c>
      <c r="B6222" t="s">
        <v>1987</v>
      </c>
      <c r="C6222">
        <v>25</v>
      </c>
      <c r="D6222" t="s">
        <v>1447</v>
      </c>
      <c r="E6222" t="s">
        <v>1988</v>
      </c>
      <c r="F6222" t="s">
        <v>1737</v>
      </c>
      <c r="K6222" t="str">
        <f>IF(ISBLANK('Q 6'!C157),"",IF('Q 6'!C157="&lt;please select&gt;","",'Q 6'!C157))</f>
        <v/>
      </c>
    </row>
    <row r="6223" spans="1:11" x14ac:dyDescent="0.3">
      <c r="A6223" t="s">
        <v>1985</v>
      </c>
      <c r="B6223" t="s">
        <v>1987</v>
      </c>
      <c r="C6223">
        <v>26</v>
      </c>
      <c r="D6223" t="s">
        <v>1447</v>
      </c>
      <c r="E6223" t="s">
        <v>1988</v>
      </c>
      <c r="F6223" t="s">
        <v>1737</v>
      </c>
      <c r="K6223" t="str">
        <f>IF(ISBLANK('Q 6'!C158),"",IF('Q 6'!C158="&lt;please select&gt;","",'Q 6'!C158))</f>
        <v/>
      </c>
    </row>
    <row r="6224" spans="1:11" x14ac:dyDescent="0.3">
      <c r="A6224" t="s">
        <v>1985</v>
      </c>
      <c r="B6224" t="s">
        <v>1987</v>
      </c>
      <c r="C6224">
        <v>27</v>
      </c>
      <c r="D6224" t="s">
        <v>1447</v>
      </c>
      <c r="E6224" t="s">
        <v>1988</v>
      </c>
      <c r="F6224" t="s">
        <v>1737</v>
      </c>
      <c r="K6224" t="str">
        <f>IF(ISBLANK('Q 6'!C159),"",IF('Q 6'!C159="&lt;please select&gt;","",'Q 6'!C159))</f>
        <v/>
      </c>
    </row>
    <row r="6225" spans="1:11" x14ac:dyDescent="0.3">
      <c r="A6225" t="s">
        <v>1985</v>
      </c>
      <c r="B6225" t="s">
        <v>1987</v>
      </c>
      <c r="C6225">
        <v>28</v>
      </c>
      <c r="D6225" t="s">
        <v>1447</v>
      </c>
      <c r="E6225" t="s">
        <v>1988</v>
      </c>
      <c r="F6225" t="s">
        <v>1737</v>
      </c>
      <c r="K6225" t="str">
        <f>IF(ISBLANK('Q 6'!C160),"",IF('Q 6'!C160="&lt;please select&gt;","",'Q 6'!C160))</f>
        <v/>
      </c>
    </row>
    <row r="6226" spans="1:11" x14ac:dyDescent="0.3">
      <c r="A6226" t="s">
        <v>1985</v>
      </c>
      <c r="B6226" t="s">
        <v>1987</v>
      </c>
      <c r="C6226">
        <v>29</v>
      </c>
      <c r="D6226" t="s">
        <v>1447</v>
      </c>
      <c r="E6226" t="s">
        <v>1988</v>
      </c>
      <c r="F6226" t="s">
        <v>1737</v>
      </c>
      <c r="K6226" t="str">
        <f>IF(ISBLANK('Q 6'!C161),"",IF('Q 6'!C161="&lt;please select&gt;","",'Q 6'!C161))</f>
        <v/>
      </c>
    </row>
    <row r="6227" spans="1:11" x14ac:dyDescent="0.3">
      <c r="A6227" t="s">
        <v>1985</v>
      </c>
      <c r="B6227" t="s">
        <v>1987</v>
      </c>
      <c r="C6227">
        <v>30</v>
      </c>
      <c r="D6227" t="s">
        <v>1447</v>
      </c>
      <c r="E6227" t="s">
        <v>1988</v>
      </c>
      <c r="F6227" t="s">
        <v>1737</v>
      </c>
      <c r="K6227" t="str">
        <f>IF(ISBLANK('Q 6'!C162),"",IF('Q 6'!C162="&lt;please select&gt;","",'Q 6'!C162))</f>
        <v/>
      </c>
    </row>
    <row r="6228" spans="1:11" x14ac:dyDescent="0.3">
      <c r="A6228" t="s">
        <v>1985</v>
      </c>
      <c r="B6228" t="s">
        <v>1987</v>
      </c>
      <c r="C6228">
        <v>31</v>
      </c>
      <c r="D6228" t="s">
        <v>1447</v>
      </c>
      <c r="E6228" t="s">
        <v>1988</v>
      </c>
      <c r="F6228" t="s">
        <v>1737</v>
      </c>
      <c r="K6228" t="str">
        <f>IF(ISBLANK('Q 6'!C163),"",IF('Q 6'!C163="&lt;please select&gt;","",'Q 6'!C163))</f>
        <v/>
      </c>
    </row>
    <row r="6229" spans="1:11" x14ac:dyDescent="0.3">
      <c r="A6229" t="s">
        <v>1985</v>
      </c>
      <c r="B6229" t="s">
        <v>1987</v>
      </c>
      <c r="C6229">
        <v>32</v>
      </c>
      <c r="D6229" t="s">
        <v>1447</v>
      </c>
      <c r="E6229" t="s">
        <v>1988</v>
      </c>
      <c r="F6229" t="s">
        <v>1737</v>
      </c>
      <c r="K6229" t="str">
        <f>IF(ISBLANK('Q 6'!C164),"",IF('Q 6'!C164="&lt;please select&gt;","",'Q 6'!C164))</f>
        <v/>
      </c>
    </row>
    <row r="6230" spans="1:11" x14ac:dyDescent="0.3">
      <c r="A6230" t="s">
        <v>1985</v>
      </c>
      <c r="B6230" t="s">
        <v>1987</v>
      </c>
      <c r="C6230">
        <v>33</v>
      </c>
      <c r="D6230" t="s">
        <v>1447</v>
      </c>
      <c r="E6230" t="s">
        <v>1988</v>
      </c>
      <c r="F6230" t="s">
        <v>1737</v>
      </c>
      <c r="K6230" t="str">
        <f>IF(ISBLANK('Q 6'!C165),"",IF('Q 6'!C165="&lt;please select&gt;","",'Q 6'!C165))</f>
        <v/>
      </c>
    </row>
    <row r="6231" spans="1:11" x14ac:dyDescent="0.3">
      <c r="A6231" t="s">
        <v>1985</v>
      </c>
      <c r="B6231" t="s">
        <v>1987</v>
      </c>
      <c r="C6231">
        <v>34</v>
      </c>
      <c r="D6231" t="s">
        <v>1447</v>
      </c>
      <c r="E6231" t="s">
        <v>1988</v>
      </c>
      <c r="F6231" t="s">
        <v>1737</v>
      </c>
      <c r="K6231" t="str">
        <f>IF(ISBLANK('Q 6'!C166),"",IF('Q 6'!C166="&lt;please select&gt;","",'Q 6'!C166))</f>
        <v/>
      </c>
    </row>
    <row r="6232" spans="1:11" x14ac:dyDescent="0.3">
      <c r="A6232" t="s">
        <v>1985</v>
      </c>
      <c r="B6232" t="s">
        <v>1987</v>
      </c>
      <c r="C6232">
        <v>35</v>
      </c>
      <c r="D6232" t="s">
        <v>1447</v>
      </c>
      <c r="E6232" t="s">
        <v>1988</v>
      </c>
      <c r="F6232" t="s">
        <v>1737</v>
      </c>
      <c r="K6232" t="str">
        <f>IF(ISBLANK('Q 6'!C167),"",IF('Q 6'!C167="&lt;please select&gt;","",'Q 6'!C167))</f>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Non-material misstatements</v>
      </c>
    </row>
    <row r="6289" spans="1:11" x14ac:dyDescent="0.3">
      <c r="A6289" t="s">
        <v>1985</v>
      </c>
      <c r="B6289" t="s">
        <v>1987</v>
      </c>
      <c r="C6289">
        <v>2</v>
      </c>
      <c r="D6289" t="s">
        <v>1447</v>
      </c>
      <c r="E6289" t="s">
        <v>1989</v>
      </c>
      <c r="F6289" t="s">
        <v>1737</v>
      </c>
      <c r="K6289" t="str">
        <f>IF(ISBLANK('Q 6'!E134),"",IF('Q 6'!E134="&lt;please select&gt;","",'Q 6'!E134))</f>
        <v>Non-material misstatements</v>
      </c>
    </row>
    <row r="6290" spans="1:11" x14ac:dyDescent="0.3">
      <c r="A6290" t="s">
        <v>1985</v>
      </c>
      <c r="B6290" t="s">
        <v>1987</v>
      </c>
      <c r="C6290">
        <v>3</v>
      </c>
      <c r="D6290" t="s">
        <v>1447</v>
      </c>
      <c r="E6290" t="s">
        <v>1989</v>
      </c>
      <c r="F6290" t="s">
        <v>1737</v>
      </c>
      <c r="K6290" t="str">
        <f>IF(ISBLANK('Q 6'!E135),"",IF('Q 6'!E135="&lt;please select&gt;","",'Q 6'!E135))</f>
        <v>Non-material misstatements</v>
      </c>
    </row>
    <row r="6291" spans="1:11" x14ac:dyDescent="0.3">
      <c r="A6291" t="s">
        <v>1985</v>
      </c>
      <c r="B6291" t="s">
        <v>1987</v>
      </c>
      <c r="C6291">
        <v>4</v>
      </c>
      <c r="D6291" t="s">
        <v>1447</v>
      </c>
      <c r="E6291" t="s">
        <v>1989</v>
      </c>
      <c r="F6291" t="s">
        <v>1737</v>
      </c>
      <c r="K6291" t="str">
        <f>IF(ISBLANK('Q 6'!E136),"",IF('Q 6'!E136="&lt;please select&gt;","",'Q 6'!E136))</f>
        <v>Non-material misstatements</v>
      </c>
    </row>
    <row r="6292" spans="1:11" x14ac:dyDescent="0.3">
      <c r="A6292" t="s">
        <v>1985</v>
      </c>
      <c r="B6292" t="s">
        <v>1987</v>
      </c>
      <c r="C6292">
        <v>5</v>
      </c>
      <c r="D6292" t="s">
        <v>1447</v>
      </c>
      <c r="E6292" t="s">
        <v>1989</v>
      </c>
      <c r="F6292" t="s">
        <v>1737</v>
      </c>
      <c r="K6292" t="str">
        <f>IF(ISBLANK('Q 6'!E137),"",IF('Q 6'!E137="&lt;please select&gt;","",'Q 6'!E137))</f>
        <v>Non-conformities not leading to a negative verification opinion statement</v>
      </c>
    </row>
    <row r="6293" spans="1:11" x14ac:dyDescent="0.3">
      <c r="A6293" t="s">
        <v>1985</v>
      </c>
      <c r="B6293" t="s">
        <v>1987</v>
      </c>
      <c r="C6293">
        <v>6</v>
      </c>
      <c r="D6293" t="s">
        <v>1447</v>
      </c>
      <c r="E6293" t="s">
        <v>1989</v>
      </c>
      <c r="F6293" t="s">
        <v>1737</v>
      </c>
      <c r="K6293" t="str">
        <f>IF(ISBLANK('Q 6'!E138),"",IF('Q 6'!E138="&lt;please select&gt;","",'Q 6'!E138))</f>
        <v>Non-conformities not leading to a negative verification opinion statement</v>
      </c>
    </row>
    <row r="6294" spans="1:11" x14ac:dyDescent="0.3">
      <c r="A6294" t="s">
        <v>1985</v>
      </c>
      <c r="B6294" t="s">
        <v>1987</v>
      </c>
      <c r="C6294">
        <v>7</v>
      </c>
      <c r="D6294" t="s">
        <v>1447</v>
      </c>
      <c r="E6294" t="s">
        <v>1989</v>
      </c>
      <c r="F6294" t="s">
        <v>1737</v>
      </c>
      <c r="K6294" t="str">
        <f>IF(ISBLANK('Q 6'!E139),"",IF('Q 6'!E139="&lt;please select&gt;","",'Q 6'!E139))</f>
        <v>Non-conformities not leading to a negative verification opinion statement</v>
      </c>
    </row>
    <row r="6295" spans="1:11" x14ac:dyDescent="0.3">
      <c r="A6295" t="s">
        <v>1985</v>
      </c>
      <c r="B6295" t="s">
        <v>1987</v>
      </c>
      <c r="C6295">
        <v>8</v>
      </c>
      <c r="D6295" t="s">
        <v>1447</v>
      </c>
      <c r="E6295" t="s">
        <v>1989</v>
      </c>
      <c r="F6295" t="s">
        <v>1737</v>
      </c>
      <c r="K6295" t="str">
        <f>IF(ISBLANK('Q 6'!E140),"",IF('Q 6'!E140="&lt;please select&gt;","",'Q 6'!E140))</f>
        <v>Non-conformities not leading to a negative verification opinion statement</v>
      </c>
    </row>
    <row r="6296" spans="1:11" x14ac:dyDescent="0.3">
      <c r="A6296" t="s">
        <v>1985</v>
      </c>
      <c r="B6296" t="s">
        <v>1987</v>
      </c>
      <c r="C6296">
        <v>9</v>
      </c>
      <c r="D6296" t="s">
        <v>1447</v>
      </c>
      <c r="E6296" t="s">
        <v>1989</v>
      </c>
      <c r="F6296" t="s">
        <v>1737</v>
      </c>
      <c r="K6296" t="str">
        <f>IF(ISBLANK('Q 6'!E141),"",IF('Q 6'!E141="&lt;please select&gt;","",'Q 6'!E141))</f>
        <v>Non-conformities not leading to a negative verification opinion statement</v>
      </c>
    </row>
    <row r="6297" spans="1:11" x14ac:dyDescent="0.3">
      <c r="A6297" t="s">
        <v>1985</v>
      </c>
      <c r="B6297" t="s">
        <v>1987</v>
      </c>
      <c r="C6297">
        <v>10</v>
      </c>
      <c r="D6297" t="s">
        <v>1447</v>
      </c>
      <c r="E6297" t="s">
        <v>1989</v>
      </c>
      <c r="F6297" t="s">
        <v>1737</v>
      </c>
      <c r="K6297" t="str">
        <f>IF(ISBLANK('Q 6'!E142),"",IF('Q 6'!E142="&lt;please select&gt;","",'Q 6'!E142))</f>
        <v>Non-conformities not leading to a negative verification opinion statement</v>
      </c>
    </row>
    <row r="6298" spans="1:11" x14ac:dyDescent="0.3">
      <c r="A6298" t="s">
        <v>1985</v>
      </c>
      <c r="B6298" t="s">
        <v>1987</v>
      </c>
      <c r="C6298">
        <v>11</v>
      </c>
      <c r="D6298" t="s">
        <v>1447</v>
      </c>
      <c r="E6298" t="s">
        <v>1989</v>
      </c>
      <c r="F6298" t="s">
        <v>1737</v>
      </c>
      <c r="K6298" t="str">
        <f>IF(ISBLANK('Q 6'!E143),"",IF('Q 6'!E143="&lt;please select&gt;","",'Q 6'!E143))</f>
        <v>Non-conformities not leading to a negative verification opinion statement</v>
      </c>
    </row>
    <row r="6299" spans="1:11" x14ac:dyDescent="0.3">
      <c r="A6299" t="s">
        <v>1985</v>
      </c>
      <c r="B6299" t="s">
        <v>1987</v>
      </c>
      <c r="C6299">
        <v>12</v>
      </c>
      <c r="D6299" t="s">
        <v>1447</v>
      </c>
      <c r="E6299" t="s">
        <v>1989</v>
      </c>
      <c r="F6299" t="s">
        <v>1737</v>
      </c>
      <c r="K6299" t="str">
        <f>IF(ISBLANK('Q 6'!E144),"",IF('Q 6'!E144="&lt;please select&gt;","",'Q 6'!E144))</f>
        <v>Non-compliance with Implementing Regulation (EU) 2018/2066</v>
      </c>
    </row>
    <row r="6300" spans="1:11" x14ac:dyDescent="0.3">
      <c r="A6300" t="s">
        <v>1985</v>
      </c>
      <c r="B6300" t="s">
        <v>1987</v>
      </c>
      <c r="C6300">
        <v>13</v>
      </c>
      <c r="D6300" t="s">
        <v>1447</v>
      </c>
      <c r="E6300" t="s">
        <v>1989</v>
      </c>
      <c r="F6300" t="s">
        <v>1737</v>
      </c>
      <c r="K6300" t="str">
        <f>IF(ISBLANK('Q 6'!E145),"",IF('Q 6'!E145="&lt;please select&gt;","",'Q 6'!E145))</f>
        <v>Recommendations for improvement</v>
      </c>
    </row>
    <row r="6301" spans="1:11" x14ac:dyDescent="0.3">
      <c r="A6301" t="s">
        <v>1985</v>
      </c>
      <c r="B6301" t="s">
        <v>1987</v>
      </c>
      <c r="C6301">
        <v>14</v>
      </c>
      <c r="D6301" t="s">
        <v>1447</v>
      </c>
      <c r="E6301" t="s">
        <v>1989</v>
      </c>
      <c r="F6301" t="s">
        <v>1737</v>
      </c>
      <c r="K6301" t="str">
        <f>IF(ISBLANK('Q 6'!E146),"",IF('Q 6'!E146="&lt;please select&gt;","",'Q 6'!E146))</f>
        <v>Recommendations for improvement</v>
      </c>
    </row>
    <row r="6302" spans="1:11" x14ac:dyDescent="0.3">
      <c r="A6302" t="s">
        <v>1985</v>
      </c>
      <c r="B6302" t="s">
        <v>1987</v>
      </c>
      <c r="C6302">
        <v>15</v>
      </c>
      <c r="D6302" t="s">
        <v>1447</v>
      </c>
      <c r="E6302" t="s">
        <v>1989</v>
      </c>
      <c r="F6302" t="s">
        <v>1737</v>
      </c>
      <c r="K6302" t="str">
        <f>IF(ISBLANK('Q 6'!E147),"",IF('Q 6'!E147="&lt;please select&gt;","",'Q 6'!E147))</f>
        <v>Recommendations for improvement</v>
      </c>
    </row>
    <row r="6303" spans="1:11" x14ac:dyDescent="0.3">
      <c r="A6303" t="s">
        <v>1985</v>
      </c>
      <c r="B6303" t="s">
        <v>1987</v>
      </c>
      <c r="C6303">
        <v>16</v>
      </c>
      <c r="D6303" t="s">
        <v>1447</v>
      </c>
      <c r="E6303" t="s">
        <v>1989</v>
      </c>
      <c r="F6303" t="s">
        <v>1737</v>
      </c>
      <c r="K6303" t="str">
        <f>IF(ISBLANK('Q 6'!E148),"",IF('Q 6'!E148="&lt;please select&gt;","",'Q 6'!E148))</f>
        <v>Recommendations for improvement</v>
      </c>
    </row>
    <row r="6304" spans="1:11" x14ac:dyDescent="0.3">
      <c r="A6304" t="s">
        <v>1985</v>
      </c>
      <c r="B6304" t="s">
        <v>1987</v>
      </c>
      <c r="C6304">
        <v>17</v>
      </c>
      <c r="D6304" t="s">
        <v>1447</v>
      </c>
      <c r="E6304" t="s">
        <v>1989</v>
      </c>
      <c r="F6304" t="s">
        <v>1737</v>
      </c>
      <c r="K6304" t="str">
        <f>IF(ISBLANK('Q 6'!E149),"",IF('Q 6'!E149="&lt;please select&gt;","",'Q 6'!E149))</f>
        <v>Recommendations for improvement</v>
      </c>
    </row>
    <row r="6305" spans="1:11" x14ac:dyDescent="0.3">
      <c r="A6305" t="s">
        <v>1985</v>
      </c>
      <c r="B6305" t="s">
        <v>1987</v>
      </c>
      <c r="C6305">
        <v>18</v>
      </c>
      <c r="D6305" t="s">
        <v>1447</v>
      </c>
      <c r="E6305" t="s">
        <v>1989</v>
      </c>
      <c r="F6305" t="s">
        <v>1737</v>
      </c>
      <c r="K6305" t="str">
        <f>IF(ISBLANK('Q 6'!E150),"",IF('Q 6'!E150="&lt;please select&gt;","",'Q 6'!E150))</f>
        <v>Recommendations for improvement</v>
      </c>
    </row>
    <row r="6306" spans="1:11" x14ac:dyDescent="0.3">
      <c r="A6306" t="s">
        <v>1985</v>
      </c>
      <c r="B6306" t="s">
        <v>1987</v>
      </c>
      <c r="C6306">
        <v>19</v>
      </c>
      <c r="D6306" t="s">
        <v>1447</v>
      </c>
      <c r="E6306" t="s">
        <v>1989</v>
      </c>
      <c r="F6306" t="s">
        <v>1737</v>
      </c>
      <c r="K6306" t="str">
        <f>IF(ISBLANK('Q 6'!E151),"",IF('Q 6'!E151="&lt;please select&gt;","",'Q 6'!E151))</f>
        <v>Recommendations for improvement</v>
      </c>
    </row>
    <row r="6307" spans="1:11" x14ac:dyDescent="0.3">
      <c r="A6307" t="s">
        <v>1985</v>
      </c>
      <c r="B6307" t="s">
        <v>1987</v>
      </c>
      <c r="C6307">
        <v>20</v>
      </c>
      <c r="D6307" t="s">
        <v>1447</v>
      </c>
      <c r="E6307" t="s">
        <v>1989</v>
      </c>
      <c r="F6307" t="s">
        <v>1737</v>
      </c>
      <c r="K6307" t="str">
        <f>IF(ISBLANK('Q 6'!E152),"",IF('Q 6'!E152="&lt;please select&gt;","",'Q 6'!E152))</f>
        <v>Recommendations for improvement</v>
      </c>
    </row>
    <row r="6308" spans="1:11" x14ac:dyDescent="0.3">
      <c r="A6308" t="s">
        <v>1985</v>
      </c>
      <c r="B6308" t="s">
        <v>1987</v>
      </c>
      <c r="C6308">
        <v>21</v>
      </c>
      <c r="D6308" t="s">
        <v>1447</v>
      </c>
      <c r="E6308" t="s">
        <v>1989</v>
      </c>
      <c r="F6308" t="s">
        <v>1737</v>
      </c>
      <c r="K6308" t="str">
        <f>IF(ISBLANK('Q 6'!E153),"",IF('Q 6'!E153="&lt;please select&gt;","",'Q 6'!E153))</f>
        <v>Recommendations for improvement</v>
      </c>
    </row>
    <row r="6309" spans="1:11" x14ac:dyDescent="0.3">
      <c r="A6309" t="s">
        <v>1985</v>
      </c>
      <c r="B6309" t="s">
        <v>1987</v>
      </c>
      <c r="C6309">
        <v>22</v>
      </c>
      <c r="D6309" t="s">
        <v>1447</v>
      </c>
      <c r="E6309" t="s">
        <v>1989</v>
      </c>
      <c r="F6309" t="s">
        <v>1737</v>
      </c>
      <c r="K6309" t="str">
        <f>IF(ISBLANK('Q 6'!E154),"",IF('Q 6'!E154="&lt;please select&gt;","",'Q 6'!E154))</f>
        <v/>
      </c>
    </row>
    <row r="6310" spans="1:11" x14ac:dyDescent="0.3">
      <c r="A6310" t="s">
        <v>1985</v>
      </c>
      <c r="B6310" t="s">
        <v>1987</v>
      </c>
      <c r="C6310">
        <v>23</v>
      </c>
      <c r="D6310" t="s">
        <v>1447</v>
      </c>
      <c r="E6310" t="s">
        <v>1989</v>
      </c>
      <c r="F6310" t="s">
        <v>1737</v>
      </c>
      <c r="K6310" t="str">
        <f>IF(ISBLANK('Q 6'!E155),"",IF('Q 6'!E155="&lt;please select&gt;","",'Q 6'!E155))</f>
        <v/>
      </c>
    </row>
    <row r="6311" spans="1:11" x14ac:dyDescent="0.3">
      <c r="A6311" t="s">
        <v>1985</v>
      </c>
      <c r="B6311" t="s">
        <v>1987</v>
      </c>
      <c r="C6311">
        <v>24</v>
      </c>
      <c r="D6311" t="s">
        <v>1447</v>
      </c>
      <c r="E6311" t="s">
        <v>1989</v>
      </c>
      <c r="F6311" t="s">
        <v>1737</v>
      </c>
      <c r="K6311" t="str">
        <f>IF(ISBLANK('Q 6'!E156),"",IF('Q 6'!E156="&lt;please select&gt;","",'Q 6'!E156))</f>
        <v/>
      </c>
    </row>
    <row r="6312" spans="1:11" x14ac:dyDescent="0.3">
      <c r="A6312" t="s">
        <v>1985</v>
      </c>
      <c r="B6312" t="s">
        <v>1987</v>
      </c>
      <c r="C6312">
        <v>25</v>
      </c>
      <c r="D6312" t="s">
        <v>1447</v>
      </c>
      <c r="E6312" t="s">
        <v>1989</v>
      </c>
      <c r="F6312" t="s">
        <v>1737</v>
      </c>
      <c r="K6312" t="str">
        <f>IF(ISBLANK('Q 6'!E157),"",IF('Q 6'!E157="&lt;please select&gt;","",'Q 6'!E157))</f>
        <v/>
      </c>
    </row>
    <row r="6313" spans="1:11" x14ac:dyDescent="0.3">
      <c r="A6313" t="s">
        <v>1985</v>
      </c>
      <c r="B6313" t="s">
        <v>1987</v>
      </c>
      <c r="C6313">
        <v>26</v>
      </c>
      <c r="D6313" t="s">
        <v>1447</v>
      </c>
      <c r="E6313" t="s">
        <v>1989</v>
      </c>
      <c r="F6313" t="s">
        <v>1737</v>
      </c>
      <c r="K6313" t="str">
        <f>IF(ISBLANK('Q 6'!E158),"",IF('Q 6'!E158="&lt;please select&gt;","",'Q 6'!E158))</f>
        <v/>
      </c>
    </row>
    <row r="6314" spans="1:11" x14ac:dyDescent="0.3">
      <c r="A6314" t="s">
        <v>1985</v>
      </c>
      <c r="B6314" t="s">
        <v>1987</v>
      </c>
      <c r="C6314">
        <v>27</v>
      </c>
      <c r="D6314" t="s">
        <v>1447</v>
      </c>
      <c r="E6314" t="s">
        <v>1989</v>
      </c>
      <c r="F6314" t="s">
        <v>1737</v>
      </c>
      <c r="K6314" t="str">
        <f>IF(ISBLANK('Q 6'!E159),"",IF('Q 6'!E159="&lt;please select&gt;","",'Q 6'!E159))</f>
        <v/>
      </c>
    </row>
    <row r="6315" spans="1:11" x14ac:dyDescent="0.3">
      <c r="A6315" t="s">
        <v>1985</v>
      </c>
      <c r="B6315" t="s">
        <v>1987</v>
      </c>
      <c r="C6315">
        <v>28</v>
      </c>
      <c r="D6315" t="s">
        <v>1447</v>
      </c>
      <c r="E6315" t="s">
        <v>1989</v>
      </c>
      <c r="F6315" t="s">
        <v>1737</v>
      </c>
      <c r="K6315" t="str">
        <f>IF(ISBLANK('Q 6'!E160),"",IF('Q 6'!E160="&lt;please select&gt;","",'Q 6'!E160))</f>
        <v/>
      </c>
    </row>
    <row r="6316" spans="1:11" x14ac:dyDescent="0.3">
      <c r="A6316" t="s">
        <v>1985</v>
      </c>
      <c r="B6316" t="s">
        <v>1987</v>
      </c>
      <c r="C6316">
        <v>29</v>
      </c>
      <c r="D6316" t="s">
        <v>1447</v>
      </c>
      <c r="E6316" t="s">
        <v>1989</v>
      </c>
      <c r="F6316" t="s">
        <v>1737</v>
      </c>
      <c r="K6316" t="str">
        <f>IF(ISBLANK('Q 6'!E161),"",IF('Q 6'!E161="&lt;please select&gt;","",'Q 6'!E161))</f>
        <v/>
      </c>
    </row>
    <row r="6317" spans="1:11" x14ac:dyDescent="0.3">
      <c r="A6317" t="s">
        <v>1985</v>
      </c>
      <c r="B6317" t="s">
        <v>1987</v>
      </c>
      <c r="C6317">
        <v>30</v>
      </c>
      <c r="D6317" t="s">
        <v>1447</v>
      </c>
      <c r="E6317" t="s">
        <v>1989</v>
      </c>
      <c r="F6317" t="s">
        <v>1737</v>
      </c>
      <c r="K6317" t="str">
        <f>IF(ISBLANK('Q 6'!E162),"",IF('Q 6'!E162="&lt;please select&gt;","",'Q 6'!E162))</f>
        <v/>
      </c>
    </row>
    <row r="6318" spans="1:11" x14ac:dyDescent="0.3">
      <c r="A6318" t="s">
        <v>1985</v>
      </c>
      <c r="B6318" t="s">
        <v>1987</v>
      </c>
      <c r="C6318">
        <v>31</v>
      </c>
      <c r="D6318" t="s">
        <v>1447</v>
      </c>
      <c r="E6318" t="s">
        <v>1989</v>
      </c>
      <c r="F6318" t="s">
        <v>1737</v>
      </c>
      <c r="K6318" t="str">
        <f>IF(ISBLANK('Q 6'!E163),"",IF('Q 6'!E163="&lt;please select&gt;","",'Q 6'!E163))</f>
        <v/>
      </c>
    </row>
    <row r="6319" spans="1:11" x14ac:dyDescent="0.3">
      <c r="A6319" t="s">
        <v>1985</v>
      </c>
      <c r="B6319" t="s">
        <v>1987</v>
      </c>
      <c r="C6319">
        <v>32</v>
      </c>
      <c r="D6319" t="s">
        <v>1447</v>
      </c>
      <c r="E6319" t="s">
        <v>1989</v>
      </c>
      <c r="F6319" t="s">
        <v>1737</v>
      </c>
      <c r="K6319" t="str">
        <f>IF(ISBLANK('Q 6'!E164),"",IF('Q 6'!E164="&lt;please select&gt;","",'Q 6'!E164))</f>
        <v/>
      </c>
    </row>
    <row r="6320" spans="1:11" x14ac:dyDescent="0.3">
      <c r="A6320" t="s">
        <v>1985</v>
      </c>
      <c r="B6320" t="s">
        <v>1987</v>
      </c>
      <c r="C6320">
        <v>33</v>
      </c>
      <c r="D6320" t="s">
        <v>1447</v>
      </c>
      <c r="E6320" t="s">
        <v>1989</v>
      </c>
      <c r="F6320" t="s">
        <v>1737</v>
      </c>
      <c r="K6320" t="str">
        <f>IF(ISBLANK('Q 6'!E165),"",IF('Q 6'!E165="&lt;please select&gt;","",'Q 6'!E165))</f>
        <v/>
      </c>
    </row>
    <row r="6321" spans="1:11" x14ac:dyDescent="0.3">
      <c r="A6321" t="s">
        <v>1985</v>
      </c>
      <c r="B6321" t="s">
        <v>1987</v>
      </c>
      <c r="C6321">
        <v>34</v>
      </c>
      <c r="D6321" t="s">
        <v>1447</v>
      </c>
      <c r="E6321" t="s">
        <v>1989</v>
      </c>
      <c r="F6321" t="s">
        <v>1737</v>
      </c>
      <c r="K6321" t="str">
        <f>IF(ISBLANK('Q 6'!E166),"",IF('Q 6'!E166="&lt;please select&gt;","",'Q 6'!E166))</f>
        <v/>
      </c>
    </row>
    <row r="6322" spans="1:11" x14ac:dyDescent="0.3">
      <c r="A6322" t="s">
        <v>1985</v>
      </c>
      <c r="B6322" t="s">
        <v>1987</v>
      </c>
      <c r="C6322">
        <v>35</v>
      </c>
      <c r="D6322" t="s">
        <v>1447</v>
      </c>
      <c r="E6322" t="s">
        <v>1989</v>
      </c>
      <c r="F6322" t="s">
        <v>1737</v>
      </c>
      <c r="K6322" t="str">
        <f>IF(ISBLANK('Q 6'!E167),"",IF('Q 6'!E167="&lt;please select&gt;","",'Q 6'!E167))</f>
        <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2</v>
      </c>
    </row>
    <row r="6379" spans="1:11" x14ac:dyDescent="0.3">
      <c r="A6379" t="s">
        <v>1985</v>
      </c>
      <c r="B6379" t="s">
        <v>1987</v>
      </c>
      <c r="C6379">
        <v>2</v>
      </c>
      <c r="D6379" t="s">
        <v>1447</v>
      </c>
      <c r="E6379" t="s">
        <v>1798</v>
      </c>
      <c r="F6379" t="s">
        <v>1748</v>
      </c>
      <c r="H6379" s="165" t="str">
        <f>IF(ISBLANK('Q 6'!G134),"",IF('Q 6'!G134="&lt;please select&gt;","",'Q 6'!G134))</f>
        <v>2</v>
      </c>
    </row>
    <row r="6380" spans="1:11" x14ac:dyDescent="0.3">
      <c r="A6380" t="s">
        <v>1985</v>
      </c>
      <c r="B6380" t="s">
        <v>1987</v>
      </c>
      <c r="C6380">
        <v>3</v>
      </c>
      <c r="D6380" t="s">
        <v>1447</v>
      </c>
      <c r="E6380" t="s">
        <v>1798</v>
      </c>
      <c r="F6380" t="s">
        <v>1748</v>
      </c>
      <c r="H6380" s="165" t="str">
        <f>IF(ISBLANK('Q 6'!G135),"",IF('Q 6'!G135="&lt;please select&gt;","",'Q 6'!G135))</f>
        <v>9</v>
      </c>
    </row>
    <row r="6381" spans="1:11" x14ac:dyDescent="0.3">
      <c r="A6381" t="s">
        <v>1985</v>
      </c>
      <c r="B6381" t="s">
        <v>1987</v>
      </c>
      <c r="C6381">
        <v>4</v>
      </c>
      <c r="D6381" t="s">
        <v>1447</v>
      </c>
      <c r="E6381" t="s">
        <v>1798</v>
      </c>
      <c r="F6381" t="s">
        <v>1748</v>
      </c>
      <c r="H6381" s="165" t="str">
        <f>IF(ISBLANK('Q 6'!G136),"",IF('Q 6'!G136="&lt;please select&gt;","",'Q 6'!G136))</f>
        <v>1</v>
      </c>
    </row>
    <row r="6382" spans="1:11" x14ac:dyDescent="0.3">
      <c r="A6382" t="s">
        <v>1985</v>
      </c>
      <c r="B6382" t="s">
        <v>1987</v>
      </c>
      <c r="C6382">
        <v>5</v>
      </c>
      <c r="D6382" t="s">
        <v>1447</v>
      </c>
      <c r="E6382" t="s">
        <v>1798</v>
      </c>
      <c r="F6382" t="s">
        <v>1748</v>
      </c>
      <c r="H6382" s="165" t="str">
        <f>IF(ISBLANK('Q 6'!G137),"",IF('Q 6'!G137="&lt;please select&gt;","",'Q 6'!G137))</f>
        <v>5</v>
      </c>
    </row>
    <row r="6383" spans="1:11" x14ac:dyDescent="0.3">
      <c r="A6383" t="s">
        <v>1985</v>
      </c>
      <c r="B6383" t="s">
        <v>1987</v>
      </c>
      <c r="C6383">
        <v>6</v>
      </c>
      <c r="D6383" t="s">
        <v>1447</v>
      </c>
      <c r="E6383" t="s">
        <v>1798</v>
      </c>
      <c r="F6383" t="s">
        <v>1748</v>
      </c>
      <c r="H6383" s="165" t="str">
        <f>IF(ISBLANK('Q 6'!G138),"",IF('Q 6'!G138="&lt;please select&gt;","",'Q 6'!G138))</f>
        <v>2</v>
      </c>
    </row>
    <row r="6384" spans="1:11" x14ac:dyDescent="0.3">
      <c r="A6384" t="s">
        <v>1985</v>
      </c>
      <c r="B6384" t="s">
        <v>1987</v>
      </c>
      <c r="C6384">
        <v>7</v>
      </c>
      <c r="D6384" t="s">
        <v>1447</v>
      </c>
      <c r="E6384" t="s">
        <v>1798</v>
      </c>
      <c r="F6384" t="s">
        <v>1748</v>
      </c>
      <c r="H6384" s="165" t="str">
        <f>IF(ISBLANK('Q 6'!G139),"",IF('Q 6'!G139="&lt;please select&gt;","",'Q 6'!G139))</f>
        <v>1</v>
      </c>
    </row>
    <row r="6385" spans="1:8" x14ac:dyDescent="0.3">
      <c r="A6385" t="s">
        <v>1985</v>
      </c>
      <c r="B6385" t="s">
        <v>1987</v>
      </c>
      <c r="C6385">
        <v>8</v>
      </c>
      <c r="D6385" t="s">
        <v>1447</v>
      </c>
      <c r="E6385" t="s">
        <v>1798</v>
      </c>
      <c r="F6385" t="s">
        <v>1748</v>
      </c>
      <c r="H6385" s="165" t="str">
        <f>IF(ISBLANK('Q 6'!G140),"",IF('Q 6'!G140="&lt;please select&gt;","",'Q 6'!G140))</f>
        <v>1</v>
      </c>
    </row>
    <row r="6386" spans="1:8" x14ac:dyDescent="0.3">
      <c r="A6386" t="s">
        <v>1985</v>
      </c>
      <c r="B6386" t="s">
        <v>1987</v>
      </c>
      <c r="C6386">
        <v>9</v>
      </c>
      <c r="D6386" t="s">
        <v>1447</v>
      </c>
      <c r="E6386" t="s">
        <v>1798</v>
      </c>
      <c r="F6386" t="s">
        <v>1748</v>
      </c>
      <c r="H6386" s="165" t="str">
        <f>IF(ISBLANK('Q 6'!G141),"",IF('Q 6'!G141="&lt;please select&gt;","",'Q 6'!G141))</f>
        <v>1</v>
      </c>
    </row>
    <row r="6387" spans="1:8" x14ac:dyDescent="0.3">
      <c r="A6387" t="s">
        <v>1985</v>
      </c>
      <c r="B6387" t="s">
        <v>1987</v>
      </c>
      <c r="C6387">
        <v>10</v>
      </c>
      <c r="D6387" t="s">
        <v>1447</v>
      </c>
      <c r="E6387" t="s">
        <v>1798</v>
      </c>
      <c r="F6387" t="s">
        <v>1748</v>
      </c>
      <c r="H6387" s="165" t="str">
        <f>IF(ISBLANK('Q 6'!G142),"",IF('Q 6'!G142="&lt;please select&gt;","",'Q 6'!G142))</f>
        <v>1</v>
      </c>
    </row>
    <row r="6388" spans="1:8" x14ac:dyDescent="0.3">
      <c r="A6388" t="s">
        <v>1985</v>
      </c>
      <c r="B6388" t="s">
        <v>1987</v>
      </c>
      <c r="C6388">
        <v>11</v>
      </c>
      <c r="D6388" t="s">
        <v>1447</v>
      </c>
      <c r="E6388" t="s">
        <v>1798</v>
      </c>
      <c r="F6388" t="s">
        <v>1748</v>
      </c>
      <c r="H6388" s="165" t="str">
        <f>IF(ISBLANK('Q 6'!G143),"",IF('Q 6'!G143="&lt;please select&gt;","",'Q 6'!G143))</f>
        <v>1</v>
      </c>
    </row>
    <row r="6389" spans="1:8" x14ac:dyDescent="0.3">
      <c r="A6389" t="s">
        <v>1985</v>
      </c>
      <c r="B6389" t="s">
        <v>1987</v>
      </c>
      <c r="C6389">
        <v>12</v>
      </c>
      <c r="D6389" t="s">
        <v>1447</v>
      </c>
      <c r="E6389" t="s">
        <v>1798</v>
      </c>
      <c r="F6389" t="s">
        <v>1748</v>
      </c>
      <c r="H6389" s="165" t="str">
        <f>IF(ISBLANK('Q 6'!G144),"",IF('Q 6'!G144="&lt;please select&gt;","",'Q 6'!G144))</f>
        <v>1</v>
      </c>
    </row>
    <row r="6390" spans="1:8" x14ac:dyDescent="0.3">
      <c r="A6390" t="s">
        <v>1985</v>
      </c>
      <c r="B6390" t="s">
        <v>1987</v>
      </c>
      <c r="C6390">
        <v>13</v>
      </c>
      <c r="D6390" t="s">
        <v>1447</v>
      </c>
      <c r="E6390" t="s">
        <v>1798</v>
      </c>
      <c r="F6390" t="s">
        <v>1748</v>
      </c>
      <c r="H6390" s="165" t="str">
        <f>IF(ISBLANK('Q 6'!G145),"",IF('Q 6'!G145="&lt;please select&gt;","",'Q 6'!G145))</f>
        <v>1</v>
      </c>
    </row>
    <row r="6391" spans="1:8" x14ac:dyDescent="0.3">
      <c r="A6391" t="s">
        <v>1985</v>
      </c>
      <c r="B6391" t="s">
        <v>1987</v>
      </c>
      <c r="C6391">
        <v>14</v>
      </c>
      <c r="D6391" t="s">
        <v>1447</v>
      </c>
      <c r="E6391" t="s">
        <v>1798</v>
      </c>
      <c r="F6391" t="s">
        <v>1748</v>
      </c>
      <c r="H6391" s="165" t="str">
        <f>IF(ISBLANK('Q 6'!G146),"",IF('Q 6'!G146="&lt;please select&gt;","",'Q 6'!G146))</f>
        <v>21</v>
      </c>
    </row>
    <row r="6392" spans="1:8" x14ac:dyDescent="0.3">
      <c r="A6392" t="s">
        <v>1985</v>
      </c>
      <c r="B6392" t="s">
        <v>1987</v>
      </c>
      <c r="C6392">
        <v>15</v>
      </c>
      <c r="D6392" t="s">
        <v>1447</v>
      </c>
      <c r="E6392" t="s">
        <v>1798</v>
      </c>
      <c r="F6392" t="s">
        <v>1748</v>
      </c>
      <c r="H6392" s="165" t="str">
        <f>IF(ISBLANK('Q 6'!G147),"",IF('Q 6'!G147="&lt;please select&gt;","",'Q 6'!G147))</f>
        <v>4</v>
      </c>
    </row>
    <row r="6393" spans="1:8" x14ac:dyDescent="0.3">
      <c r="A6393" t="s">
        <v>1985</v>
      </c>
      <c r="B6393" t="s">
        <v>1987</v>
      </c>
      <c r="C6393">
        <v>16</v>
      </c>
      <c r="D6393" t="s">
        <v>1447</v>
      </c>
      <c r="E6393" t="s">
        <v>1798</v>
      </c>
      <c r="F6393" t="s">
        <v>1748</v>
      </c>
      <c r="H6393" s="165" t="str">
        <f>IF(ISBLANK('Q 6'!G148),"",IF('Q 6'!G148="&lt;please select&gt;","",'Q 6'!G148))</f>
        <v>4</v>
      </c>
    </row>
    <row r="6394" spans="1:8" x14ac:dyDescent="0.3">
      <c r="A6394" t="s">
        <v>1985</v>
      </c>
      <c r="B6394" t="s">
        <v>1987</v>
      </c>
      <c r="C6394">
        <v>17</v>
      </c>
      <c r="D6394" t="s">
        <v>1447</v>
      </c>
      <c r="E6394" t="s">
        <v>1798</v>
      </c>
      <c r="F6394" t="s">
        <v>1748</v>
      </c>
      <c r="H6394" s="165" t="str">
        <f>IF(ISBLANK('Q 6'!G149),"",IF('Q 6'!G149="&lt;please select&gt;","",'Q 6'!G149))</f>
        <v>1</v>
      </c>
    </row>
    <row r="6395" spans="1:8" x14ac:dyDescent="0.3">
      <c r="A6395" t="s">
        <v>1985</v>
      </c>
      <c r="B6395" t="s">
        <v>1987</v>
      </c>
      <c r="C6395">
        <v>18</v>
      </c>
      <c r="D6395" t="s">
        <v>1447</v>
      </c>
      <c r="E6395" t="s">
        <v>1798</v>
      </c>
      <c r="F6395" t="s">
        <v>1748</v>
      </c>
      <c r="H6395" s="165" t="str">
        <f>IF(ISBLANK('Q 6'!G150),"",IF('Q 6'!G150="&lt;please select&gt;","",'Q 6'!G150))</f>
        <v>2</v>
      </c>
    </row>
    <row r="6396" spans="1:8" x14ac:dyDescent="0.3">
      <c r="A6396" t="s">
        <v>1985</v>
      </c>
      <c r="B6396" t="s">
        <v>1987</v>
      </c>
      <c r="C6396">
        <v>19</v>
      </c>
      <c r="D6396" t="s">
        <v>1447</v>
      </c>
      <c r="E6396" t="s">
        <v>1798</v>
      </c>
      <c r="F6396" t="s">
        <v>1748</v>
      </c>
      <c r="H6396" s="165" t="str">
        <f>IF(ISBLANK('Q 6'!G151),"",IF('Q 6'!G151="&lt;please select&gt;","",'Q 6'!G151))</f>
        <v>5</v>
      </c>
    </row>
    <row r="6397" spans="1:8" x14ac:dyDescent="0.3">
      <c r="A6397" t="s">
        <v>1985</v>
      </c>
      <c r="B6397" t="s">
        <v>1987</v>
      </c>
      <c r="C6397">
        <v>20</v>
      </c>
      <c r="D6397" t="s">
        <v>1447</v>
      </c>
      <c r="E6397" t="s">
        <v>1798</v>
      </c>
      <c r="F6397" t="s">
        <v>1748</v>
      </c>
      <c r="H6397" s="165" t="str">
        <f>IF(ISBLANK('Q 6'!G152),"",IF('Q 6'!G152="&lt;please select&gt;","",'Q 6'!G152))</f>
        <v>1</v>
      </c>
    </row>
    <row r="6398" spans="1:8" x14ac:dyDescent="0.3">
      <c r="A6398" t="s">
        <v>1985</v>
      </c>
      <c r="B6398" t="s">
        <v>1987</v>
      </c>
      <c r="C6398">
        <v>21</v>
      </c>
      <c r="D6398" t="s">
        <v>1447</v>
      </c>
      <c r="E6398" t="s">
        <v>1798</v>
      </c>
      <c r="F6398" t="s">
        <v>1748</v>
      </c>
      <c r="H6398" s="165" t="str">
        <f>IF(ISBLANK('Q 6'!G153),"",IF('Q 6'!G153="&lt;please select&gt;","",'Q 6'!G153))</f>
        <v>1</v>
      </c>
    </row>
    <row r="6399" spans="1:8" x14ac:dyDescent="0.3">
      <c r="A6399" t="s">
        <v>1985</v>
      </c>
      <c r="B6399" t="s">
        <v>1987</v>
      </c>
      <c r="C6399">
        <v>22</v>
      </c>
      <c r="D6399" t="s">
        <v>1447</v>
      </c>
      <c r="E6399" t="s">
        <v>1798</v>
      </c>
      <c r="F6399" t="s">
        <v>1748</v>
      </c>
      <c r="H6399" s="165" t="str">
        <f>IF(ISBLANK('Q 6'!G154),"",IF('Q 6'!G154="&lt;please select&gt;","",'Q 6'!G154))</f>
        <v/>
      </c>
    </row>
    <row r="6400" spans="1:8" x14ac:dyDescent="0.3">
      <c r="A6400" t="s">
        <v>1985</v>
      </c>
      <c r="B6400" t="s">
        <v>1987</v>
      </c>
      <c r="C6400">
        <v>23</v>
      </c>
      <c r="D6400" t="s">
        <v>1447</v>
      </c>
      <c r="E6400" t="s">
        <v>1798</v>
      </c>
      <c r="F6400" t="s">
        <v>1748</v>
      </c>
      <c r="H6400" s="165" t="str">
        <f>IF(ISBLANK('Q 6'!G155),"",IF('Q 6'!G155="&lt;please select&gt;","",'Q 6'!G155))</f>
        <v/>
      </c>
    </row>
    <row r="6401" spans="1:8" x14ac:dyDescent="0.3">
      <c r="A6401" t="s">
        <v>1985</v>
      </c>
      <c r="B6401" t="s">
        <v>1987</v>
      </c>
      <c r="C6401">
        <v>24</v>
      </c>
      <c r="D6401" t="s">
        <v>1447</v>
      </c>
      <c r="E6401" t="s">
        <v>1798</v>
      </c>
      <c r="F6401" t="s">
        <v>1748</v>
      </c>
      <c r="H6401" s="165" t="str">
        <f>IF(ISBLANK('Q 6'!G156),"",IF('Q 6'!G156="&lt;please select&gt;","",'Q 6'!G156))</f>
        <v/>
      </c>
    </row>
    <row r="6402" spans="1:8" x14ac:dyDescent="0.3">
      <c r="A6402" t="s">
        <v>1985</v>
      </c>
      <c r="B6402" t="s">
        <v>1987</v>
      </c>
      <c r="C6402">
        <v>25</v>
      </c>
      <c r="D6402" t="s">
        <v>1447</v>
      </c>
      <c r="E6402" t="s">
        <v>1798</v>
      </c>
      <c r="F6402" t="s">
        <v>1748</v>
      </c>
      <c r="H6402" s="165" t="str">
        <f>IF(ISBLANK('Q 6'!G157),"",IF('Q 6'!G157="&lt;please select&gt;","",'Q 6'!G157))</f>
        <v/>
      </c>
    </row>
    <row r="6403" spans="1:8" x14ac:dyDescent="0.3">
      <c r="A6403" t="s">
        <v>1985</v>
      </c>
      <c r="B6403" t="s">
        <v>1987</v>
      </c>
      <c r="C6403">
        <v>26</v>
      </c>
      <c r="D6403" t="s">
        <v>1447</v>
      </c>
      <c r="E6403" t="s">
        <v>1798</v>
      </c>
      <c r="F6403" t="s">
        <v>1748</v>
      </c>
      <c r="H6403" s="165" t="str">
        <f>IF(ISBLANK('Q 6'!G158),"",IF('Q 6'!G158="&lt;please select&gt;","",'Q 6'!G158))</f>
        <v/>
      </c>
    </row>
    <row r="6404" spans="1:8" x14ac:dyDescent="0.3">
      <c r="A6404" t="s">
        <v>1985</v>
      </c>
      <c r="B6404" t="s">
        <v>1987</v>
      </c>
      <c r="C6404">
        <v>27</v>
      </c>
      <c r="D6404" t="s">
        <v>1447</v>
      </c>
      <c r="E6404" t="s">
        <v>1798</v>
      </c>
      <c r="F6404" t="s">
        <v>1748</v>
      </c>
      <c r="H6404" s="165" t="str">
        <f>IF(ISBLANK('Q 6'!G159),"",IF('Q 6'!G159="&lt;please select&gt;","",'Q 6'!G159))</f>
        <v/>
      </c>
    </row>
    <row r="6405" spans="1:8" x14ac:dyDescent="0.3">
      <c r="A6405" t="s">
        <v>1985</v>
      </c>
      <c r="B6405" t="s">
        <v>1987</v>
      </c>
      <c r="C6405">
        <v>28</v>
      </c>
      <c r="D6405" t="s">
        <v>1447</v>
      </c>
      <c r="E6405" t="s">
        <v>1798</v>
      </c>
      <c r="F6405" t="s">
        <v>1748</v>
      </c>
      <c r="H6405" s="165" t="str">
        <f>IF(ISBLANK('Q 6'!G160),"",IF('Q 6'!G160="&lt;please select&gt;","",'Q 6'!G160))</f>
        <v/>
      </c>
    </row>
    <row r="6406" spans="1:8" x14ac:dyDescent="0.3">
      <c r="A6406" t="s">
        <v>1985</v>
      </c>
      <c r="B6406" t="s">
        <v>1987</v>
      </c>
      <c r="C6406">
        <v>29</v>
      </c>
      <c r="D6406" t="s">
        <v>1447</v>
      </c>
      <c r="E6406" t="s">
        <v>1798</v>
      </c>
      <c r="F6406" t="s">
        <v>1748</v>
      </c>
      <c r="H6406" s="165" t="str">
        <f>IF(ISBLANK('Q 6'!G161),"",IF('Q 6'!G161="&lt;please select&gt;","",'Q 6'!G161))</f>
        <v/>
      </c>
    </row>
    <row r="6407" spans="1:8" x14ac:dyDescent="0.3">
      <c r="A6407" t="s">
        <v>1985</v>
      </c>
      <c r="B6407" t="s">
        <v>1987</v>
      </c>
      <c r="C6407">
        <v>30</v>
      </c>
      <c r="D6407" t="s">
        <v>1447</v>
      </c>
      <c r="E6407" t="s">
        <v>1798</v>
      </c>
      <c r="F6407" t="s">
        <v>1748</v>
      </c>
      <c r="H6407" s="165" t="str">
        <f>IF(ISBLANK('Q 6'!G162),"",IF('Q 6'!G162="&lt;please select&gt;","",'Q 6'!G162))</f>
        <v/>
      </c>
    </row>
    <row r="6408" spans="1:8" x14ac:dyDescent="0.3">
      <c r="A6408" t="s">
        <v>1985</v>
      </c>
      <c r="B6408" t="s">
        <v>1987</v>
      </c>
      <c r="C6408">
        <v>31</v>
      </c>
      <c r="D6408" t="s">
        <v>1447</v>
      </c>
      <c r="E6408" t="s">
        <v>1798</v>
      </c>
      <c r="F6408" t="s">
        <v>1748</v>
      </c>
      <c r="H6408" s="165" t="str">
        <f>IF(ISBLANK('Q 6'!G163),"",IF('Q 6'!G163="&lt;please select&gt;","",'Q 6'!G163))</f>
        <v/>
      </c>
    </row>
    <row r="6409" spans="1:8" x14ac:dyDescent="0.3">
      <c r="A6409" t="s">
        <v>1985</v>
      </c>
      <c r="B6409" t="s">
        <v>1987</v>
      </c>
      <c r="C6409">
        <v>32</v>
      </c>
      <c r="D6409" t="s">
        <v>1447</v>
      </c>
      <c r="E6409" t="s">
        <v>1798</v>
      </c>
      <c r="F6409" t="s">
        <v>1748</v>
      </c>
      <c r="H6409" s="165" t="str">
        <f>IF(ISBLANK('Q 6'!G164),"",IF('Q 6'!G164="&lt;please select&gt;","",'Q 6'!G164))</f>
        <v/>
      </c>
    </row>
    <row r="6410" spans="1:8" x14ac:dyDescent="0.3">
      <c r="A6410" t="s">
        <v>1985</v>
      </c>
      <c r="B6410" t="s">
        <v>1987</v>
      </c>
      <c r="C6410">
        <v>33</v>
      </c>
      <c r="D6410" t="s">
        <v>1447</v>
      </c>
      <c r="E6410" t="s">
        <v>1798</v>
      </c>
      <c r="F6410" t="s">
        <v>1748</v>
      </c>
      <c r="H6410" s="165" t="str">
        <f>IF(ISBLANK('Q 6'!G165),"",IF('Q 6'!G165="&lt;please select&gt;","",'Q 6'!G165))</f>
        <v/>
      </c>
    </row>
    <row r="6411" spans="1:8" x14ac:dyDescent="0.3">
      <c r="A6411" t="s">
        <v>1985</v>
      </c>
      <c r="B6411" t="s">
        <v>1987</v>
      </c>
      <c r="C6411">
        <v>34</v>
      </c>
      <c r="D6411" t="s">
        <v>1447</v>
      </c>
      <c r="E6411" t="s">
        <v>1798</v>
      </c>
      <c r="F6411" t="s">
        <v>1748</v>
      </c>
      <c r="H6411" s="165" t="str">
        <f>IF(ISBLANK('Q 6'!G166),"",IF('Q 6'!G166="&lt;please select&gt;","",'Q 6'!G166))</f>
        <v/>
      </c>
    </row>
    <row r="6412" spans="1:8" x14ac:dyDescent="0.3">
      <c r="A6412" t="s">
        <v>1985</v>
      </c>
      <c r="B6412" t="s">
        <v>1987</v>
      </c>
      <c r="C6412">
        <v>35</v>
      </c>
      <c r="D6412" t="s">
        <v>1447</v>
      </c>
      <c r="E6412" t="s">
        <v>1798</v>
      </c>
      <c r="F6412" t="s">
        <v>1748</v>
      </c>
      <c r="H6412" s="165" t="str">
        <f>IF(ISBLANK('Q 6'!G167),"",IF('Q 6'!G167="&lt;please select&gt;","",'Q 6'!G167))</f>
        <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2</v>
      </c>
    </row>
    <row r="6469" spans="1:8" x14ac:dyDescent="0.3">
      <c r="A6469" t="s">
        <v>1985</v>
      </c>
      <c r="B6469" t="s">
        <v>1987</v>
      </c>
      <c r="C6469">
        <v>2</v>
      </c>
      <c r="D6469" t="s">
        <v>1447</v>
      </c>
      <c r="E6469" t="s">
        <v>1972</v>
      </c>
      <c r="F6469" t="s">
        <v>1748</v>
      </c>
      <c r="H6469" s="165" t="str">
        <f>IF(ISBLANK('Q 6'!H134),"",IF('Q 6'!H134="&lt;please select&gt;","",'Q 6'!H134))</f>
        <v>2</v>
      </c>
    </row>
    <row r="6470" spans="1:8" x14ac:dyDescent="0.3">
      <c r="A6470" t="s">
        <v>1985</v>
      </c>
      <c r="B6470" t="s">
        <v>1987</v>
      </c>
      <c r="C6470">
        <v>3</v>
      </c>
      <c r="D6470" t="s">
        <v>1447</v>
      </c>
      <c r="E6470" t="s">
        <v>1972</v>
      </c>
      <c r="F6470" t="s">
        <v>1748</v>
      </c>
      <c r="H6470" s="165" t="str">
        <f>IF(ISBLANK('Q 6'!H135),"",IF('Q 6'!H135="&lt;please select&gt;","",'Q 6'!H135))</f>
        <v>9</v>
      </c>
    </row>
    <row r="6471" spans="1:8" x14ac:dyDescent="0.3">
      <c r="A6471" t="s">
        <v>1985</v>
      </c>
      <c r="B6471" t="s">
        <v>1987</v>
      </c>
      <c r="C6471">
        <v>4</v>
      </c>
      <c r="D6471" t="s">
        <v>1447</v>
      </c>
      <c r="E6471" t="s">
        <v>1972</v>
      </c>
      <c r="F6471" t="s">
        <v>1748</v>
      </c>
      <c r="H6471" s="165" t="str">
        <f>IF(ISBLANK('Q 6'!H136),"",IF('Q 6'!H136="&lt;please select&gt;","",'Q 6'!H136))</f>
        <v>1</v>
      </c>
    </row>
    <row r="6472" spans="1:8" x14ac:dyDescent="0.3">
      <c r="A6472" t="s">
        <v>1985</v>
      </c>
      <c r="B6472" t="s">
        <v>1987</v>
      </c>
      <c r="C6472">
        <v>5</v>
      </c>
      <c r="D6472" t="s">
        <v>1447</v>
      </c>
      <c r="E6472" t="s">
        <v>1972</v>
      </c>
      <c r="F6472" t="s">
        <v>1748</v>
      </c>
      <c r="H6472" s="165" t="str">
        <f>IF(ISBLANK('Q 6'!H137),"",IF('Q 6'!H137="&lt;please select&gt;","",'Q 6'!H137))</f>
        <v>5</v>
      </c>
    </row>
    <row r="6473" spans="1:8" x14ac:dyDescent="0.3">
      <c r="A6473" t="s">
        <v>1985</v>
      </c>
      <c r="B6473" t="s">
        <v>1987</v>
      </c>
      <c r="C6473">
        <v>6</v>
      </c>
      <c r="D6473" t="s">
        <v>1447</v>
      </c>
      <c r="E6473" t="s">
        <v>1972</v>
      </c>
      <c r="F6473" t="s">
        <v>1748</v>
      </c>
      <c r="H6473" s="165" t="str">
        <f>IF(ISBLANK('Q 6'!H138),"",IF('Q 6'!H138="&lt;please select&gt;","",'Q 6'!H138))</f>
        <v>2</v>
      </c>
    </row>
    <row r="6474" spans="1:8" x14ac:dyDescent="0.3">
      <c r="A6474" t="s">
        <v>1985</v>
      </c>
      <c r="B6474" t="s">
        <v>1987</v>
      </c>
      <c r="C6474">
        <v>7</v>
      </c>
      <c r="D6474" t="s">
        <v>1447</v>
      </c>
      <c r="E6474" t="s">
        <v>1972</v>
      </c>
      <c r="F6474" t="s">
        <v>1748</v>
      </c>
      <c r="H6474" s="165" t="str">
        <f>IF(ISBLANK('Q 6'!H139),"",IF('Q 6'!H139="&lt;please select&gt;","",'Q 6'!H139))</f>
        <v>1</v>
      </c>
    </row>
    <row r="6475" spans="1:8" x14ac:dyDescent="0.3">
      <c r="A6475" t="s">
        <v>1985</v>
      </c>
      <c r="B6475" t="s">
        <v>1987</v>
      </c>
      <c r="C6475">
        <v>8</v>
      </c>
      <c r="D6475" t="s">
        <v>1447</v>
      </c>
      <c r="E6475" t="s">
        <v>1972</v>
      </c>
      <c r="F6475" t="s">
        <v>1748</v>
      </c>
      <c r="H6475" s="165" t="str">
        <f>IF(ISBLANK('Q 6'!H140),"",IF('Q 6'!H140="&lt;please select&gt;","",'Q 6'!H140))</f>
        <v>1</v>
      </c>
    </row>
    <row r="6476" spans="1:8" x14ac:dyDescent="0.3">
      <c r="A6476" t="s">
        <v>1985</v>
      </c>
      <c r="B6476" t="s">
        <v>1987</v>
      </c>
      <c r="C6476">
        <v>9</v>
      </c>
      <c r="D6476" t="s">
        <v>1447</v>
      </c>
      <c r="E6476" t="s">
        <v>1972</v>
      </c>
      <c r="F6476" t="s">
        <v>1748</v>
      </c>
      <c r="H6476" s="165" t="str">
        <f>IF(ISBLANK('Q 6'!H141),"",IF('Q 6'!H141="&lt;please select&gt;","",'Q 6'!H141))</f>
        <v>1</v>
      </c>
    </row>
    <row r="6477" spans="1:8" x14ac:dyDescent="0.3">
      <c r="A6477" t="s">
        <v>1985</v>
      </c>
      <c r="B6477" t="s">
        <v>1987</v>
      </c>
      <c r="C6477">
        <v>10</v>
      </c>
      <c r="D6477" t="s">
        <v>1447</v>
      </c>
      <c r="E6477" t="s">
        <v>1972</v>
      </c>
      <c r="F6477" t="s">
        <v>1748</v>
      </c>
      <c r="H6477" s="165" t="str">
        <f>IF(ISBLANK('Q 6'!H142),"",IF('Q 6'!H142="&lt;please select&gt;","",'Q 6'!H142))</f>
        <v>1</v>
      </c>
    </row>
    <row r="6478" spans="1:8" x14ac:dyDescent="0.3">
      <c r="A6478" t="s">
        <v>1985</v>
      </c>
      <c r="B6478" t="s">
        <v>1987</v>
      </c>
      <c r="C6478">
        <v>11</v>
      </c>
      <c r="D6478" t="s">
        <v>1447</v>
      </c>
      <c r="E6478" t="s">
        <v>1972</v>
      </c>
      <c r="F6478" t="s">
        <v>1748</v>
      </c>
      <c r="H6478" s="165" t="str">
        <f>IF(ISBLANK('Q 6'!H143),"",IF('Q 6'!H143="&lt;please select&gt;","",'Q 6'!H143))</f>
        <v>1</v>
      </c>
    </row>
    <row r="6479" spans="1:8" x14ac:dyDescent="0.3">
      <c r="A6479" t="s">
        <v>1985</v>
      </c>
      <c r="B6479" t="s">
        <v>1987</v>
      </c>
      <c r="C6479">
        <v>12</v>
      </c>
      <c r="D6479" t="s">
        <v>1447</v>
      </c>
      <c r="E6479" t="s">
        <v>1972</v>
      </c>
      <c r="F6479" t="s">
        <v>1748</v>
      </c>
      <c r="H6479" s="165" t="str">
        <f>IF(ISBLANK('Q 6'!H144),"",IF('Q 6'!H144="&lt;please select&gt;","",'Q 6'!H144))</f>
        <v>1</v>
      </c>
    </row>
    <row r="6480" spans="1:8" x14ac:dyDescent="0.3">
      <c r="A6480" t="s">
        <v>1985</v>
      </c>
      <c r="B6480" t="s">
        <v>1987</v>
      </c>
      <c r="C6480">
        <v>13</v>
      </c>
      <c r="D6480" t="s">
        <v>1447</v>
      </c>
      <c r="E6480" t="s">
        <v>1972</v>
      </c>
      <c r="F6480" t="s">
        <v>1748</v>
      </c>
      <c r="H6480" s="165" t="str">
        <f>IF(ISBLANK('Q 6'!H145),"",IF('Q 6'!H145="&lt;please select&gt;","",'Q 6'!H145))</f>
        <v>1</v>
      </c>
    </row>
    <row r="6481" spans="1:8" x14ac:dyDescent="0.3">
      <c r="A6481" t="s">
        <v>1985</v>
      </c>
      <c r="B6481" t="s">
        <v>1987</v>
      </c>
      <c r="C6481">
        <v>14</v>
      </c>
      <c r="D6481" t="s">
        <v>1447</v>
      </c>
      <c r="E6481" t="s">
        <v>1972</v>
      </c>
      <c r="F6481" t="s">
        <v>1748</v>
      </c>
      <c r="H6481" s="165" t="str">
        <f>IF(ISBLANK('Q 6'!H146),"",IF('Q 6'!H146="&lt;please select&gt;","",'Q 6'!H146))</f>
        <v>25</v>
      </c>
    </row>
    <row r="6482" spans="1:8" x14ac:dyDescent="0.3">
      <c r="A6482" t="s">
        <v>1985</v>
      </c>
      <c r="B6482" t="s">
        <v>1987</v>
      </c>
      <c r="C6482">
        <v>15</v>
      </c>
      <c r="D6482" t="s">
        <v>1447</v>
      </c>
      <c r="E6482" t="s">
        <v>1972</v>
      </c>
      <c r="F6482" t="s">
        <v>1748</v>
      </c>
      <c r="H6482" s="165" t="str">
        <f>IF(ISBLANK('Q 6'!H147),"",IF('Q 6'!H147="&lt;please select&gt;","",'Q 6'!H147))</f>
        <v>6</v>
      </c>
    </row>
    <row r="6483" spans="1:8" x14ac:dyDescent="0.3">
      <c r="A6483" t="s">
        <v>1985</v>
      </c>
      <c r="B6483" t="s">
        <v>1987</v>
      </c>
      <c r="C6483">
        <v>16</v>
      </c>
      <c r="D6483" t="s">
        <v>1447</v>
      </c>
      <c r="E6483" t="s">
        <v>1972</v>
      </c>
      <c r="F6483" t="s">
        <v>1748</v>
      </c>
      <c r="H6483" s="165" t="str">
        <f>IF(ISBLANK('Q 6'!H148),"",IF('Q 6'!H148="&lt;please select&gt;","",'Q 6'!H148))</f>
        <v>6</v>
      </c>
    </row>
    <row r="6484" spans="1:8" x14ac:dyDescent="0.3">
      <c r="A6484" t="s">
        <v>1985</v>
      </c>
      <c r="B6484" t="s">
        <v>1987</v>
      </c>
      <c r="C6484">
        <v>17</v>
      </c>
      <c r="D6484" t="s">
        <v>1447</v>
      </c>
      <c r="E6484" t="s">
        <v>1972</v>
      </c>
      <c r="F6484" t="s">
        <v>1748</v>
      </c>
      <c r="H6484" s="165" t="str">
        <f>IF(ISBLANK('Q 6'!H149),"",IF('Q 6'!H149="&lt;please select&gt;","",'Q 6'!H149))</f>
        <v>1</v>
      </c>
    </row>
    <row r="6485" spans="1:8" x14ac:dyDescent="0.3">
      <c r="A6485" t="s">
        <v>1985</v>
      </c>
      <c r="B6485" t="s">
        <v>1987</v>
      </c>
      <c r="C6485">
        <v>18</v>
      </c>
      <c r="D6485" t="s">
        <v>1447</v>
      </c>
      <c r="E6485" t="s">
        <v>1972</v>
      </c>
      <c r="F6485" t="s">
        <v>1748</v>
      </c>
      <c r="H6485" s="165" t="str">
        <f>IF(ISBLANK('Q 6'!H150),"",IF('Q 6'!H150="&lt;please select&gt;","",'Q 6'!H150))</f>
        <v>2</v>
      </c>
    </row>
    <row r="6486" spans="1:8" x14ac:dyDescent="0.3">
      <c r="A6486" t="s">
        <v>1985</v>
      </c>
      <c r="B6486" t="s">
        <v>1987</v>
      </c>
      <c r="C6486">
        <v>19</v>
      </c>
      <c r="D6486" t="s">
        <v>1447</v>
      </c>
      <c r="E6486" t="s">
        <v>1972</v>
      </c>
      <c r="F6486" t="s">
        <v>1748</v>
      </c>
      <c r="H6486" s="165" t="str">
        <f>IF(ISBLANK('Q 6'!H151),"",IF('Q 6'!H151="&lt;please select&gt;","",'Q 6'!H151))</f>
        <v>10</v>
      </c>
    </row>
    <row r="6487" spans="1:8" x14ac:dyDescent="0.3">
      <c r="A6487" t="s">
        <v>1985</v>
      </c>
      <c r="B6487" t="s">
        <v>1987</v>
      </c>
      <c r="C6487">
        <v>20</v>
      </c>
      <c r="D6487" t="s">
        <v>1447</v>
      </c>
      <c r="E6487" t="s">
        <v>1972</v>
      </c>
      <c r="F6487" t="s">
        <v>1748</v>
      </c>
      <c r="H6487" s="165" t="str">
        <f>IF(ISBLANK('Q 6'!H152),"",IF('Q 6'!H152="&lt;please select&gt;","",'Q 6'!H152))</f>
        <v>1</v>
      </c>
    </row>
    <row r="6488" spans="1:8" x14ac:dyDescent="0.3">
      <c r="A6488" t="s">
        <v>1985</v>
      </c>
      <c r="B6488" t="s">
        <v>1987</v>
      </c>
      <c r="C6488">
        <v>21</v>
      </c>
      <c r="D6488" t="s">
        <v>1447</v>
      </c>
      <c r="E6488" t="s">
        <v>1972</v>
      </c>
      <c r="F6488" t="s">
        <v>1748</v>
      </c>
      <c r="H6488" s="165" t="str">
        <f>IF(ISBLANK('Q 6'!H153),"",IF('Q 6'!H153="&lt;please select&gt;","",'Q 6'!H153))</f>
        <v>1</v>
      </c>
    </row>
    <row r="6489" spans="1:8" x14ac:dyDescent="0.3">
      <c r="A6489" t="s">
        <v>1985</v>
      </c>
      <c r="B6489" t="s">
        <v>1987</v>
      </c>
      <c r="C6489">
        <v>22</v>
      </c>
      <c r="D6489" t="s">
        <v>1447</v>
      </c>
      <c r="E6489" t="s">
        <v>1972</v>
      </c>
      <c r="F6489" t="s">
        <v>1748</v>
      </c>
      <c r="H6489" s="165" t="str">
        <f>IF(ISBLANK('Q 6'!H154),"",IF('Q 6'!H154="&lt;please select&gt;","",'Q 6'!H154))</f>
        <v/>
      </c>
    </row>
    <row r="6490" spans="1:8" x14ac:dyDescent="0.3">
      <c r="A6490" t="s">
        <v>1985</v>
      </c>
      <c r="B6490" t="s">
        <v>1987</v>
      </c>
      <c r="C6490">
        <v>23</v>
      </c>
      <c r="D6490" t="s">
        <v>1447</v>
      </c>
      <c r="E6490" t="s">
        <v>1972</v>
      </c>
      <c r="F6490" t="s">
        <v>1748</v>
      </c>
      <c r="H6490" s="165" t="str">
        <f>IF(ISBLANK('Q 6'!H155),"",IF('Q 6'!H155="&lt;please select&gt;","",'Q 6'!H155))</f>
        <v/>
      </c>
    </row>
    <row r="6491" spans="1:8" x14ac:dyDescent="0.3">
      <c r="A6491" t="s">
        <v>1985</v>
      </c>
      <c r="B6491" t="s">
        <v>1987</v>
      </c>
      <c r="C6491">
        <v>24</v>
      </c>
      <c r="D6491" t="s">
        <v>1447</v>
      </c>
      <c r="E6491" t="s">
        <v>1972</v>
      </c>
      <c r="F6491" t="s">
        <v>1748</v>
      </c>
      <c r="H6491" s="165" t="str">
        <f>IF(ISBLANK('Q 6'!H156),"",IF('Q 6'!H156="&lt;please select&gt;","",'Q 6'!H156))</f>
        <v/>
      </c>
    </row>
    <row r="6492" spans="1:8" x14ac:dyDescent="0.3">
      <c r="A6492" t="s">
        <v>1985</v>
      </c>
      <c r="B6492" t="s">
        <v>1987</v>
      </c>
      <c r="C6492">
        <v>25</v>
      </c>
      <c r="D6492" t="s">
        <v>1447</v>
      </c>
      <c r="E6492" t="s">
        <v>1972</v>
      </c>
      <c r="F6492" t="s">
        <v>1748</v>
      </c>
      <c r="H6492" s="165" t="str">
        <f>IF(ISBLANK('Q 6'!H157),"",IF('Q 6'!H157="&lt;please select&gt;","",'Q 6'!H157))</f>
        <v/>
      </c>
    </row>
    <row r="6493" spans="1:8" x14ac:dyDescent="0.3">
      <c r="A6493" t="s">
        <v>1985</v>
      </c>
      <c r="B6493" t="s">
        <v>1987</v>
      </c>
      <c r="C6493">
        <v>26</v>
      </c>
      <c r="D6493" t="s">
        <v>1447</v>
      </c>
      <c r="E6493" t="s">
        <v>1972</v>
      </c>
      <c r="F6493" t="s">
        <v>1748</v>
      </c>
      <c r="H6493" s="165" t="str">
        <f>IF(ISBLANK('Q 6'!H158),"",IF('Q 6'!H158="&lt;please select&gt;","",'Q 6'!H158))</f>
        <v/>
      </c>
    </row>
    <row r="6494" spans="1:8" x14ac:dyDescent="0.3">
      <c r="A6494" t="s">
        <v>1985</v>
      </c>
      <c r="B6494" t="s">
        <v>1987</v>
      </c>
      <c r="C6494">
        <v>27</v>
      </c>
      <c r="D6494" t="s">
        <v>1447</v>
      </c>
      <c r="E6494" t="s">
        <v>1972</v>
      </c>
      <c r="F6494" t="s">
        <v>1748</v>
      </c>
      <c r="H6494" s="165" t="str">
        <f>IF(ISBLANK('Q 6'!H159),"",IF('Q 6'!H159="&lt;please select&gt;","",'Q 6'!H159))</f>
        <v/>
      </c>
    </row>
    <row r="6495" spans="1:8" x14ac:dyDescent="0.3">
      <c r="A6495" t="s">
        <v>1985</v>
      </c>
      <c r="B6495" t="s">
        <v>1987</v>
      </c>
      <c r="C6495">
        <v>28</v>
      </c>
      <c r="D6495" t="s">
        <v>1447</v>
      </c>
      <c r="E6495" t="s">
        <v>1972</v>
      </c>
      <c r="F6495" t="s">
        <v>1748</v>
      </c>
      <c r="H6495" s="165" t="str">
        <f>IF(ISBLANK('Q 6'!H160),"",IF('Q 6'!H160="&lt;please select&gt;","",'Q 6'!H160))</f>
        <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0</v>
      </c>
    </row>
    <row r="6559" spans="1:9" x14ac:dyDescent="0.3">
      <c r="A6559" t="s">
        <v>1985</v>
      </c>
      <c r="B6559" t="s">
        <v>1987</v>
      </c>
      <c r="C6559">
        <v>2</v>
      </c>
      <c r="D6559" t="s">
        <v>1447</v>
      </c>
      <c r="E6559" t="s">
        <v>1990</v>
      </c>
      <c r="F6559" t="s">
        <v>1806</v>
      </c>
      <c r="I6559" s="166" t="str">
        <f>IF(ISBLANK('Q 6'!I134),"",IF('Q 6'!I134="&lt;please select&gt;","",'Q 6'!I134))</f>
        <v>0</v>
      </c>
    </row>
    <row r="6560" spans="1:9" x14ac:dyDescent="0.3">
      <c r="A6560" t="s">
        <v>1985</v>
      </c>
      <c r="B6560" t="s">
        <v>1987</v>
      </c>
      <c r="C6560">
        <v>3</v>
      </c>
      <c r="D6560" t="s">
        <v>1447</v>
      </c>
      <c r="E6560" t="s">
        <v>1990</v>
      </c>
      <c r="F6560" t="s">
        <v>1806</v>
      </c>
      <c r="I6560" s="166" t="str">
        <f>IF(ISBLANK('Q 6'!I135),"",IF('Q 6'!I135="&lt;please select&gt;","",'Q 6'!I135))</f>
        <v>0</v>
      </c>
    </row>
    <row r="6561" spans="1:9" x14ac:dyDescent="0.3">
      <c r="A6561" t="s">
        <v>1985</v>
      </c>
      <c r="B6561" t="s">
        <v>1987</v>
      </c>
      <c r="C6561">
        <v>4</v>
      </c>
      <c r="D6561" t="s">
        <v>1447</v>
      </c>
      <c r="E6561" t="s">
        <v>1990</v>
      </c>
      <c r="F6561" t="s">
        <v>1806</v>
      </c>
      <c r="I6561" s="166" t="str">
        <f>IF(ISBLANK('Q 6'!I136),"",IF('Q 6'!I136="&lt;please select&gt;","",'Q 6'!I136))</f>
        <v>0</v>
      </c>
    </row>
    <row r="6562" spans="1:9" x14ac:dyDescent="0.3">
      <c r="A6562" t="s">
        <v>1985</v>
      </c>
      <c r="B6562" t="s">
        <v>1987</v>
      </c>
      <c r="C6562">
        <v>5</v>
      </c>
      <c r="D6562" t="s">
        <v>1447</v>
      </c>
      <c r="E6562" t="s">
        <v>1990</v>
      </c>
      <c r="F6562" t="s">
        <v>1806</v>
      </c>
      <c r="I6562" s="166" t="str">
        <f>IF(ISBLANK('Q 6'!I137),"",IF('Q 6'!I137="&lt;please select&gt;","",'Q 6'!I137))</f>
        <v>0</v>
      </c>
    </row>
    <row r="6563" spans="1:9" x14ac:dyDescent="0.3">
      <c r="A6563" t="s">
        <v>1985</v>
      </c>
      <c r="B6563" t="s">
        <v>1987</v>
      </c>
      <c r="C6563">
        <v>6</v>
      </c>
      <c r="D6563" t="s">
        <v>1447</v>
      </c>
      <c r="E6563" t="s">
        <v>1990</v>
      </c>
      <c r="F6563" t="s">
        <v>1806</v>
      </c>
      <c r="I6563" s="166" t="str">
        <f>IF(ISBLANK('Q 6'!I138),"",IF('Q 6'!I138="&lt;please select&gt;","",'Q 6'!I138))</f>
        <v>0</v>
      </c>
    </row>
    <row r="6564" spans="1:9" x14ac:dyDescent="0.3">
      <c r="A6564" t="s">
        <v>1985</v>
      </c>
      <c r="B6564" t="s">
        <v>1987</v>
      </c>
      <c r="C6564">
        <v>7</v>
      </c>
      <c r="D6564" t="s">
        <v>1447</v>
      </c>
      <c r="E6564" t="s">
        <v>1990</v>
      </c>
      <c r="F6564" t="s">
        <v>1806</v>
      </c>
      <c r="I6564" s="166" t="str">
        <f>IF(ISBLANK('Q 6'!I139),"",IF('Q 6'!I139="&lt;please select&gt;","",'Q 6'!I139))</f>
        <v>0</v>
      </c>
    </row>
    <row r="6565" spans="1:9" x14ac:dyDescent="0.3">
      <c r="A6565" t="s">
        <v>1985</v>
      </c>
      <c r="B6565" t="s">
        <v>1987</v>
      </c>
      <c r="C6565">
        <v>8</v>
      </c>
      <c r="D6565" t="s">
        <v>1447</v>
      </c>
      <c r="E6565" t="s">
        <v>1990</v>
      </c>
      <c r="F6565" t="s">
        <v>1806</v>
      </c>
      <c r="I6565" s="166" t="str">
        <f>IF(ISBLANK('Q 6'!I140),"",IF('Q 6'!I140="&lt;please select&gt;","",'Q 6'!I140))</f>
        <v>0</v>
      </c>
    </row>
    <row r="6566" spans="1:9" x14ac:dyDescent="0.3">
      <c r="A6566" t="s">
        <v>1985</v>
      </c>
      <c r="B6566" t="s">
        <v>1987</v>
      </c>
      <c r="C6566">
        <v>9</v>
      </c>
      <c r="D6566" t="s">
        <v>1447</v>
      </c>
      <c r="E6566" t="s">
        <v>1990</v>
      </c>
      <c r="F6566" t="s">
        <v>1806</v>
      </c>
      <c r="I6566" s="166" t="str">
        <f>IF(ISBLANK('Q 6'!I141),"",IF('Q 6'!I141="&lt;please select&gt;","",'Q 6'!I141))</f>
        <v>0</v>
      </c>
    </row>
    <row r="6567" spans="1:9" x14ac:dyDescent="0.3">
      <c r="A6567" t="s">
        <v>1985</v>
      </c>
      <c r="B6567" t="s">
        <v>1987</v>
      </c>
      <c r="C6567">
        <v>10</v>
      </c>
      <c r="D6567" t="s">
        <v>1447</v>
      </c>
      <c r="E6567" t="s">
        <v>1990</v>
      </c>
      <c r="F6567" t="s">
        <v>1806</v>
      </c>
      <c r="I6567" s="166" t="str">
        <f>IF(ISBLANK('Q 6'!I142),"",IF('Q 6'!I142="&lt;please select&gt;","",'Q 6'!I142))</f>
        <v>0</v>
      </c>
    </row>
    <row r="6568" spans="1:9" x14ac:dyDescent="0.3">
      <c r="A6568" t="s">
        <v>1985</v>
      </c>
      <c r="B6568" t="s">
        <v>1987</v>
      </c>
      <c r="C6568">
        <v>11</v>
      </c>
      <c r="D6568" t="s">
        <v>1447</v>
      </c>
      <c r="E6568" t="s">
        <v>1990</v>
      </c>
      <c r="F6568" t="s">
        <v>1806</v>
      </c>
      <c r="I6568" s="166" t="str">
        <f>IF(ISBLANK('Q 6'!I143),"",IF('Q 6'!I143="&lt;please select&gt;","",'Q 6'!I143))</f>
        <v>0</v>
      </c>
    </row>
    <row r="6569" spans="1:9" x14ac:dyDescent="0.3">
      <c r="A6569" t="s">
        <v>1985</v>
      </c>
      <c r="B6569" t="s">
        <v>1987</v>
      </c>
      <c r="C6569">
        <v>12</v>
      </c>
      <c r="D6569" t="s">
        <v>1447</v>
      </c>
      <c r="E6569" t="s">
        <v>1990</v>
      </c>
      <c r="F6569" t="s">
        <v>1806</v>
      </c>
      <c r="I6569" s="166" t="str">
        <f>IF(ISBLANK('Q 6'!I144),"",IF('Q 6'!I144="&lt;please select&gt;","",'Q 6'!I144))</f>
        <v>0</v>
      </c>
    </row>
    <row r="6570" spans="1:9" x14ac:dyDescent="0.3">
      <c r="A6570" t="s">
        <v>1985</v>
      </c>
      <c r="B6570" t="s">
        <v>1987</v>
      </c>
      <c r="C6570">
        <v>13</v>
      </c>
      <c r="D6570" t="s">
        <v>1447</v>
      </c>
      <c r="E6570" t="s">
        <v>1990</v>
      </c>
      <c r="F6570" t="s">
        <v>1806</v>
      </c>
      <c r="I6570" s="166" t="str">
        <f>IF(ISBLANK('Q 6'!I145),"",IF('Q 6'!I145="&lt;please select&gt;","",'Q 6'!I145))</f>
        <v>0</v>
      </c>
    </row>
    <row r="6571" spans="1:9" x14ac:dyDescent="0.3">
      <c r="A6571" t="s">
        <v>1985</v>
      </c>
      <c r="B6571" t="s">
        <v>1987</v>
      </c>
      <c r="C6571">
        <v>14</v>
      </c>
      <c r="D6571" t="s">
        <v>1447</v>
      </c>
      <c r="E6571" t="s">
        <v>1990</v>
      </c>
      <c r="F6571" t="s">
        <v>1806</v>
      </c>
      <c r="I6571" s="166" t="str">
        <f>IF(ISBLANK('Q 6'!I146),"",IF('Q 6'!I146="&lt;please select&gt;","",'Q 6'!I146))</f>
        <v>0</v>
      </c>
    </row>
    <row r="6572" spans="1:9" x14ac:dyDescent="0.3">
      <c r="A6572" t="s">
        <v>1985</v>
      </c>
      <c r="B6572" t="s">
        <v>1987</v>
      </c>
      <c r="C6572">
        <v>15</v>
      </c>
      <c r="D6572" t="s">
        <v>1447</v>
      </c>
      <c r="E6572" t="s">
        <v>1990</v>
      </c>
      <c r="F6572" t="s">
        <v>1806</v>
      </c>
      <c r="I6572" s="166" t="str">
        <f>IF(ISBLANK('Q 6'!I147),"",IF('Q 6'!I147="&lt;please select&gt;","",'Q 6'!I147))</f>
        <v>0</v>
      </c>
    </row>
    <row r="6573" spans="1:9" x14ac:dyDescent="0.3">
      <c r="A6573" t="s">
        <v>1985</v>
      </c>
      <c r="B6573" t="s">
        <v>1987</v>
      </c>
      <c r="C6573">
        <v>16</v>
      </c>
      <c r="D6573" t="s">
        <v>1447</v>
      </c>
      <c r="E6573" t="s">
        <v>1990</v>
      </c>
      <c r="F6573" t="s">
        <v>1806</v>
      </c>
      <c r="I6573" s="166" t="str">
        <f>IF(ISBLANK('Q 6'!I148),"",IF('Q 6'!I148="&lt;please select&gt;","",'Q 6'!I148))</f>
        <v>0</v>
      </c>
    </row>
    <row r="6574" spans="1:9" x14ac:dyDescent="0.3">
      <c r="A6574" t="s">
        <v>1985</v>
      </c>
      <c r="B6574" t="s">
        <v>1987</v>
      </c>
      <c r="C6574">
        <v>17</v>
      </c>
      <c r="D6574" t="s">
        <v>1447</v>
      </c>
      <c r="E6574" t="s">
        <v>1990</v>
      </c>
      <c r="F6574" t="s">
        <v>1806</v>
      </c>
      <c r="I6574" s="166" t="str">
        <f>IF(ISBLANK('Q 6'!I149),"",IF('Q 6'!I149="&lt;please select&gt;","",'Q 6'!I149))</f>
        <v>0</v>
      </c>
    </row>
    <row r="6575" spans="1:9" x14ac:dyDescent="0.3">
      <c r="A6575" t="s">
        <v>1985</v>
      </c>
      <c r="B6575" t="s">
        <v>1987</v>
      </c>
      <c r="C6575">
        <v>18</v>
      </c>
      <c r="D6575" t="s">
        <v>1447</v>
      </c>
      <c r="E6575" t="s">
        <v>1990</v>
      </c>
      <c r="F6575" t="s">
        <v>1806</v>
      </c>
      <c r="I6575" s="166" t="str">
        <f>IF(ISBLANK('Q 6'!I150),"",IF('Q 6'!I150="&lt;please select&gt;","",'Q 6'!I150))</f>
        <v>0</v>
      </c>
    </row>
    <row r="6576" spans="1:9" x14ac:dyDescent="0.3">
      <c r="A6576" t="s">
        <v>1985</v>
      </c>
      <c r="B6576" t="s">
        <v>1987</v>
      </c>
      <c r="C6576">
        <v>19</v>
      </c>
      <c r="D6576" t="s">
        <v>1447</v>
      </c>
      <c r="E6576" t="s">
        <v>1990</v>
      </c>
      <c r="F6576" t="s">
        <v>1806</v>
      </c>
      <c r="I6576" s="166" t="str">
        <f>IF(ISBLANK('Q 6'!I151),"",IF('Q 6'!I151="&lt;please select&gt;","",'Q 6'!I151))</f>
        <v>0</v>
      </c>
    </row>
    <row r="6577" spans="1:9" x14ac:dyDescent="0.3">
      <c r="A6577" t="s">
        <v>1985</v>
      </c>
      <c r="B6577" t="s">
        <v>1987</v>
      </c>
      <c r="C6577">
        <v>20</v>
      </c>
      <c r="D6577" t="s">
        <v>1447</v>
      </c>
      <c r="E6577" t="s">
        <v>1990</v>
      </c>
      <c r="F6577" t="s">
        <v>1806</v>
      </c>
      <c r="I6577" s="166" t="str">
        <f>IF(ISBLANK('Q 6'!I152),"",IF('Q 6'!I152="&lt;please select&gt;","",'Q 6'!I152))</f>
        <v>0</v>
      </c>
    </row>
    <row r="6578" spans="1:9" x14ac:dyDescent="0.3">
      <c r="A6578" t="s">
        <v>1985</v>
      </c>
      <c r="B6578" t="s">
        <v>1987</v>
      </c>
      <c r="C6578">
        <v>21</v>
      </c>
      <c r="D6578" t="s">
        <v>1447</v>
      </c>
      <c r="E6578" t="s">
        <v>1990</v>
      </c>
      <c r="F6578" t="s">
        <v>1806</v>
      </c>
      <c r="I6578" s="166" t="str">
        <f>IF(ISBLANK('Q 6'!I153),"",IF('Q 6'!I153="&lt;please select&gt;","",'Q 6'!I153))</f>
        <v>0</v>
      </c>
    </row>
    <row r="6579" spans="1:9" x14ac:dyDescent="0.3">
      <c r="A6579" t="s">
        <v>1985</v>
      </c>
      <c r="B6579" t="s">
        <v>1987</v>
      </c>
      <c r="C6579">
        <v>22</v>
      </c>
      <c r="D6579" t="s">
        <v>1447</v>
      </c>
      <c r="E6579" t="s">
        <v>1990</v>
      </c>
      <c r="F6579" t="s">
        <v>1806</v>
      </c>
      <c r="I6579" s="166" t="str">
        <f>IF(ISBLANK('Q 6'!I154),"",IF('Q 6'!I154="&lt;please select&gt;","",'Q 6'!I154))</f>
        <v/>
      </c>
    </row>
    <row r="6580" spans="1:9" x14ac:dyDescent="0.3">
      <c r="A6580" t="s">
        <v>1985</v>
      </c>
      <c r="B6580" t="s">
        <v>1987</v>
      </c>
      <c r="C6580">
        <v>23</v>
      </c>
      <c r="D6580" t="s">
        <v>1447</v>
      </c>
      <c r="E6580" t="s">
        <v>1990</v>
      </c>
      <c r="F6580" t="s">
        <v>1806</v>
      </c>
      <c r="I6580" s="166" t="str">
        <f>IF(ISBLANK('Q 6'!I155),"",IF('Q 6'!I155="&lt;please select&gt;","",'Q 6'!I155))</f>
        <v/>
      </c>
    </row>
    <row r="6581" spans="1:9" x14ac:dyDescent="0.3">
      <c r="A6581" t="s">
        <v>1985</v>
      </c>
      <c r="B6581" t="s">
        <v>1987</v>
      </c>
      <c r="C6581">
        <v>24</v>
      </c>
      <c r="D6581" t="s">
        <v>1447</v>
      </c>
      <c r="E6581" t="s">
        <v>1990</v>
      </c>
      <c r="F6581" t="s">
        <v>1806</v>
      </c>
      <c r="I6581" s="166" t="str">
        <f>IF(ISBLANK('Q 6'!I156),"",IF('Q 6'!I156="&lt;please select&gt;","",'Q 6'!I156))</f>
        <v/>
      </c>
    </row>
    <row r="6582" spans="1:9" x14ac:dyDescent="0.3">
      <c r="A6582" t="s">
        <v>1985</v>
      </c>
      <c r="B6582" t="s">
        <v>1987</v>
      </c>
      <c r="C6582">
        <v>25</v>
      </c>
      <c r="D6582" t="s">
        <v>1447</v>
      </c>
      <c r="E6582" t="s">
        <v>1990</v>
      </c>
      <c r="F6582" t="s">
        <v>1806</v>
      </c>
      <c r="I6582" s="166" t="str">
        <f>IF(ISBLANK('Q 6'!I157),"",IF('Q 6'!I157="&lt;please select&gt;","",'Q 6'!I157))</f>
        <v/>
      </c>
    </row>
    <row r="6583" spans="1:9" x14ac:dyDescent="0.3">
      <c r="A6583" t="s">
        <v>1985</v>
      </c>
      <c r="B6583" t="s">
        <v>1987</v>
      </c>
      <c r="C6583">
        <v>26</v>
      </c>
      <c r="D6583" t="s">
        <v>1447</v>
      </c>
      <c r="E6583" t="s">
        <v>1990</v>
      </c>
      <c r="F6583" t="s">
        <v>1806</v>
      </c>
      <c r="I6583" s="166" t="str">
        <f>IF(ISBLANK('Q 6'!I158),"",IF('Q 6'!I158="&lt;please select&gt;","",'Q 6'!I158))</f>
        <v/>
      </c>
    </row>
    <row r="6584" spans="1:9" x14ac:dyDescent="0.3">
      <c r="A6584" t="s">
        <v>1985</v>
      </c>
      <c r="B6584" t="s">
        <v>1987</v>
      </c>
      <c r="C6584">
        <v>27</v>
      </c>
      <c r="D6584" t="s">
        <v>1447</v>
      </c>
      <c r="E6584" t="s">
        <v>1990</v>
      </c>
      <c r="F6584" t="s">
        <v>1806</v>
      </c>
      <c r="I6584" s="166" t="str">
        <f>IF(ISBLANK('Q 6'!I159),"",IF('Q 6'!I159="&lt;please select&gt;","",'Q 6'!I159))</f>
        <v/>
      </c>
    </row>
    <row r="6585" spans="1:9" x14ac:dyDescent="0.3">
      <c r="A6585" t="s">
        <v>1985</v>
      </c>
      <c r="B6585" t="s">
        <v>1987</v>
      </c>
      <c r="C6585">
        <v>28</v>
      </c>
      <c r="D6585" t="s">
        <v>1447</v>
      </c>
      <c r="E6585" t="s">
        <v>1990</v>
      </c>
      <c r="F6585" t="s">
        <v>1806</v>
      </c>
      <c r="I6585" s="166" t="str">
        <f>IF(ISBLANK('Q 6'!I160),"",IF('Q 6'!I160="&lt;please select&gt;","",'Q 6'!I160))</f>
        <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0.3</v>
      </c>
    </row>
    <row r="6651" spans="1:11" x14ac:dyDescent="0.3">
      <c r="A6651" t="s">
        <v>1991</v>
      </c>
      <c r="B6651" t="s">
        <v>1993</v>
      </c>
      <c r="C6651">
        <v>3</v>
      </c>
      <c r="D6651" t="s">
        <v>1447</v>
      </c>
      <c r="E6651" t="s">
        <v>1994</v>
      </c>
      <c r="F6651" t="s">
        <v>1806</v>
      </c>
      <c r="I6651" s="166" t="str">
        <f>IF(ISBLANK('Q 6'!G231),"",IF('Q 6'!G231="&lt;please select&gt;","",'Q 6'!G231))</f>
        <v>0.1</v>
      </c>
    </row>
    <row r="6652" spans="1:11" x14ac:dyDescent="0.3">
      <c r="A6652" t="s">
        <v>1991</v>
      </c>
      <c r="B6652" t="s">
        <v>1993</v>
      </c>
      <c r="C6652">
        <v>4</v>
      </c>
      <c r="D6652" t="s">
        <v>1447</v>
      </c>
      <c r="E6652" t="s">
        <v>1994</v>
      </c>
      <c r="F6652" t="s">
        <v>1806</v>
      </c>
      <c r="I6652" s="166" t="str">
        <f>IF(ISBLANK('Q 6'!G232),"",IF('Q 6'!G232="&lt;please select&gt;","",'Q 6'!G232))</f>
        <v>0.3</v>
      </c>
    </row>
    <row r="6653" spans="1:11" x14ac:dyDescent="0.3">
      <c r="A6653" t="s">
        <v>1991</v>
      </c>
      <c r="B6653" t="s">
        <v>1993</v>
      </c>
      <c r="C6653">
        <v>5</v>
      </c>
      <c r="D6653" t="s">
        <v>1447</v>
      </c>
      <c r="E6653" t="s">
        <v>1994</v>
      </c>
      <c r="F6653" t="s">
        <v>1806</v>
      </c>
      <c r="I6653" s="166" t="str">
        <f>IF(ISBLANK('Q 6'!G233),"",IF('Q 6'!G233="&lt;please select&gt;","",'Q 6'!G233))</f>
        <v>0.3</v>
      </c>
    </row>
    <row r="6654" spans="1:11" x14ac:dyDescent="0.3">
      <c r="A6654" t="s">
        <v>1991</v>
      </c>
      <c r="B6654" t="s">
        <v>1993</v>
      </c>
      <c r="C6654">
        <v>4</v>
      </c>
      <c r="D6654" t="s">
        <v>1447</v>
      </c>
      <c r="E6654" t="s">
        <v>1995</v>
      </c>
      <c r="F6654" t="s">
        <v>1791</v>
      </c>
      <c r="J6654" t="str">
        <f>IF(ISBLANK('Q 6'!$H$232),"",IF('Q 6'!$H$232="&lt;please select&gt;","",'Q 6'!$H$232))</f>
        <v>Some Emission Reports have been cross-checked with Verification Reports and Improvement Reports or with historical data. Further, data gained from Emission Reports has been partly cross-checked with data from the Czech Hydrometeorological Institute (calculation of emissions from CRF categories).</v>
      </c>
    </row>
    <row r="6655" spans="1:11" x14ac:dyDescent="0.3">
      <c r="A6655" t="s">
        <v>1991</v>
      </c>
      <c r="B6655" t="s">
        <v>1993</v>
      </c>
      <c r="C6655">
        <v>5</v>
      </c>
      <c r="D6655" t="s">
        <v>1447</v>
      </c>
      <c r="E6655" t="s">
        <v>1995</v>
      </c>
      <c r="F6655" t="s">
        <v>1791</v>
      </c>
      <c r="J6655" t="str">
        <f>IF(ISBLANK('Q 6'!$I$233),"",IF('Q 6'!$I$233="&lt;please select&gt;","",'Q 6'!$I$233))</f>
        <v>Risk based assessment - checks on reports with inconsistencies found during previons checks or based on findings during checks of AER. Focus on installations with the highest amount of emissions and on the biggest source streams.</v>
      </c>
    </row>
    <row r="6656" spans="1:11" x14ac:dyDescent="0.3">
      <c r="A6656" t="s">
        <v>1991</v>
      </c>
      <c r="B6656" t="s">
        <v>1993</v>
      </c>
      <c r="C6656">
        <v>5</v>
      </c>
      <c r="D6656" t="s">
        <v>1447</v>
      </c>
      <c r="E6656" t="s">
        <v>1996</v>
      </c>
      <c r="F6656" t="s">
        <v>1737</v>
      </c>
      <c r="K6656" t="str">
        <f>IF(ISBLANK('Q 6'!$H$233),"",IF('Q 6'!$H$233="&lt;please select&gt;","",'Q 6'!$H$233))</f>
        <v>Risk based assessment</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0</v>
      </c>
    </row>
    <row r="6659" spans="1:11" x14ac:dyDescent="0.3">
      <c r="A6659" t="s">
        <v>1991</v>
      </c>
      <c r="B6659" t="s">
        <v>1997</v>
      </c>
      <c r="C6659">
        <v>2</v>
      </c>
      <c r="D6659" t="s">
        <v>1447</v>
      </c>
      <c r="E6659" t="s">
        <v>1995</v>
      </c>
      <c r="F6659" t="s">
        <v>1791</v>
      </c>
      <c r="J6659" t="str">
        <f>IF(ISBLANK('Q 6'!$H$235),"",IF('Q 6'!$H$235="&lt;please select&gt;","",'Q 6'!$H$235))</f>
        <v/>
      </c>
    </row>
    <row r="6660" spans="1:11" x14ac:dyDescent="0.3">
      <c r="A6660" t="s">
        <v>1991</v>
      </c>
      <c r="B6660" t="s">
        <v>1999</v>
      </c>
      <c r="C6660">
        <v>1</v>
      </c>
      <c r="D6660" t="s">
        <v>1447</v>
      </c>
      <c r="E6660" t="s">
        <v>2000</v>
      </c>
      <c r="F6660" t="s">
        <v>1741</v>
      </c>
      <c r="G6660" t="str">
        <f>IF(ISBLANK('Q 6'!G236),"",IF('Q 6'!G236="&lt;please select&gt;","",'Q 6'!G236))</f>
        <v>Not applicable</v>
      </c>
    </row>
    <row r="6661" spans="1:11" x14ac:dyDescent="0.3">
      <c r="A6661" t="s">
        <v>1991</v>
      </c>
      <c r="B6661" t="s">
        <v>1999</v>
      </c>
      <c r="C6661">
        <v>2</v>
      </c>
      <c r="D6661" t="s">
        <v>1419</v>
      </c>
      <c r="E6661" t="s">
        <v>2000</v>
      </c>
      <c r="F6661" t="s">
        <v>1791</v>
      </c>
      <c r="J6661" t="str">
        <f>IF(ISBLANK('Q 6'!G237),"",IF('Q 6'!G237="&lt;please select&gt;","",'Q 6'!G237))</f>
        <v>Not applicable</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No</v>
      </c>
    </row>
    <row r="6724" spans="1:11" x14ac:dyDescent="0.3">
      <c r="A6724" t="s">
        <v>2001</v>
      </c>
      <c r="B6724" t="s">
        <v>2006</v>
      </c>
      <c r="C6724">
        <v>0</v>
      </c>
      <c r="D6724" t="s">
        <v>1447</v>
      </c>
      <c r="E6724" t="s">
        <v>2006</v>
      </c>
      <c r="F6724" t="s">
        <v>1748</v>
      </c>
      <c r="H6724" s="165" t="str">
        <f>IF(ISBLANK('Q 6'!$H$268),"",IF('Q 6'!$H$268="&lt;please select&gt;","",'Q 6'!$H$268))</f>
        <v/>
      </c>
    </row>
    <row r="6725" spans="1:11" x14ac:dyDescent="0.3">
      <c r="A6725" t="s">
        <v>2007</v>
      </c>
      <c r="B6725" t="s">
        <v>2008</v>
      </c>
      <c r="C6725">
        <v>0</v>
      </c>
      <c r="D6725" t="s">
        <v>1447</v>
      </c>
      <c r="E6725" t="s">
        <v>2008</v>
      </c>
      <c r="F6725" t="s">
        <v>1759</v>
      </c>
      <c r="K6725" t="str">
        <f>IF(ISBLANK('Q 6'!$I$270),"",IF('Q 6'!$I$270="&lt;please select&gt;","",'Q 6'!$I$270))</f>
        <v>Yes</v>
      </c>
    </row>
    <row r="6726" spans="1:11" x14ac:dyDescent="0.3">
      <c r="A6726" t="s">
        <v>2007</v>
      </c>
      <c r="B6726" t="s">
        <v>2009</v>
      </c>
      <c r="C6726">
        <v>1</v>
      </c>
      <c r="D6726" t="s">
        <v>1447</v>
      </c>
      <c r="E6726" t="s">
        <v>2010</v>
      </c>
      <c r="F6726" t="s">
        <v>1741</v>
      </c>
      <c r="G6726" t="str">
        <f>IF(ISBLANK('Q 6'!C276),"",IF('Q 6'!C276="&lt;please select&gt;","",'Q 6'!C276))</f>
        <v>Covid-19 related measures imposed by the government and/or the operator to minimize risks connected with the epidemiological situation</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19</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Approval by competent authority</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Yes</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
      </c>
    </row>
    <row r="6779" spans="1:7" x14ac:dyDescent="0.3">
      <c r="A6779" t="s">
        <v>2014</v>
      </c>
      <c r="B6779" t="s">
        <v>2015</v>
      </c>
      <c r="C6779">
        <v>2</v>
      </c>
      <c r="D6779" t="s">
        <v>1447</v>
      </c>
      <c r="E6779" t="s">
        <v>2016</v>
      </c>
      <c r="F6779" t="s">
        <v>1741</v>
      </c>
      <c r="G6779" t="str">
        <f>IF(ISBLANK('Q 6'!C296),"",IF('Q 6'!C296="&lt;please select&gt;","",'Q 6'!C296))</f>
        <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
      </c>
    </row>
    <row r="6800" spans="1:9" x14ac:dyDescent="0.3">
      <c r="A6800" t="s">
        <v>2014</v>
      </c>
      <c r="B6800" t="s">
        <v>2015</v>
      </c>
      <c r="C6800">
        <v>2</v>
      </c>
      <c r="D6800" t="s">
        <v>1447</v>
      </c>
      <c r="E6800" t="s">
        <v>2017</v>
      </c>
      <c r="F6800" t="s">
        <v>1806</v>
      </c>
      <c r="I6800" s="165" t="str">
        <f>IF(ISBLANK('Q 6'!D296),"",IF('Q 6'!D296="&lt;please select&gt;","",'Q 6'!D296))</f>
        <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
      </c>
    </row>
    <row r="6821" spans="1:11" x14ac:dyDescent="0.3">
      <c r="A6821" t="s">
        <v>2014</v>
      </c>
      <c r="B6821" t="s">
        <v>2015</v>
      </c>
      <c r="C6821">
        <v>2</v>
      </c>
      <c r="D6821" t="s">
        <v>1447</v>
      </c>
      <c r="E6821" t="s">
        <v>1978</v>
      </c>
      <c r="F6821" t="s">
        <v>1737</v>
      </c>
      <c r="K6821" t="str">
        <f>IF(ISBLANK('Q 6'!E296),"",IF('Q 6'!E296="&lt;please select&gt;","",'Q 6'!E296))</f>
        <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
      </c>
    </row>
    <row r="6842" spans="1:11" x14ac:dyDescent="0.3">
      <c r="A6842" t="s">
        <v>2014</v>
      </c>
      <c r="B6842" t="s">
        <v>2015</v>
      </c>
      <c r="C6842">
        <v>2</v>
      </c>
      <c r="D6842" t="s">
        <v>1447</v>
      </c>
      <c r="E6842" t="s">
        <v>2018</v>
      </c>
      <c r="F6842" t="s">
        <v>1806</v>
      </c>
      <c r="I6842" s="166" t="str">
        <f>IF(ISBLANK('Q 6'!F296),"",IF('Q 6'!F296="&lt;please select&gt;","",'Q 6'!F296))</f>
        <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
      </c>
    </row>
    <row r="6863" spans="1:9" x14ac:dyDescent="0.3">
      <c r="A6863" t="s">
        <v>2014</v>
      </c>
      <c r="B6863" t="s">
        <v>2015</v>
      </c>
      <c r="C6863">
        <v>2</v>
      </c>
      <c r="D6863" t="s">
        <v>1447</v>
      </c>
      <c r="E6863" t="s">
        <v>1980</v>
      </c>
      <c r="F6863" t="s">
        <v>1741</v>
      </c>
      <c r="G6863" t="str">
        <f>IF(ISBLANK('Q 6'!G296),"",IF('Q 6'!G296="&lt;please select&gt;","",'Q 6'!G296))</f>
        <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
      </c>
    </row>
    <row r="6884" spans="1:11" x14ac:dyDescent="0.3">
      <c r="A6884" t="s">
        <v>2014</v>
      </c>
      <c r="B6884" t="s">
        <v>2015</v>
      </c>
      <c r="C6884">
        <v>2</v>
      </c>
      <c r="D6884" t="s">
        <v>1447</v>
      </c>
      <c r="E6884" t="s">
        <v>1981</v>
      </c>
      <c r="F6884" t="s">
        <v>1737</v>
      </c>
      <c r="K6884" t="str">
        <f>IF(ISBLANK('Q 6'!H296),"",IF('Q 6'!H296="&lt;please select&gt;","",'Q 6'!H296))</f>
        <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
      </c>
    </row>
    <row r="6905" spans="1:11" x14ac:dyDescent="0.3">
      <c r="A6905" t="s">
        <v>2014</v>
      </c>
      <c r="B6905" t="s">
        <v>2015</v>
      </c>
      <c r="C6905">
        <v>2</v>
      </c>
      <c r="D6905" t="s">
        <v>1419</v>
      </c>
      <c r="E6905" t="s">
        <v>2019</v>
      </c>
      <c r="F6905" t="s">
        <v>1791</v>
      </c>
      <c r="J6905" t="str">
        <f>IF(ISBLANK('Q 6'!I296),"",IF('Q 6'!I296="&lt;please select&gt;","",'Q 6'!I296))</f>
        <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0</v>
      </c>
    </row>
    <row r="6926" spans="1:10" x14ac:dyDescent="0.3">
      <c r="A6926" t="s">
        <v>2014</v>
      </c>
      <c r="B6926" t="s">
        <v>2020</v>
      </c>
      <c r="C6926">
        <v>2</v>
      </c>
      <c r="D6926" t="s">
        <v>1447</v>
      </c>
      <c r="E6926" t="s">
        <v>1984</v>
      </c>
      <c r="F6926" t="s">
        <v>1748</v>
      </c>
      <c r="H6926" s="165" t="str">
        <f>IF(ISBLANK('Q 6'!H324),"",IF('Q 6'!H324="&lt;please select&gt;","",'Q 6'!H324))</f>
        <v>0</v>
      </c>
    </row>
    <row r="6927" spans="1:10" x14ac:dyDescent="0.3">
      <c r="A6927" t="s">
        <v>2014</v>
      </c>
      <c r="B6927" t="s">
        <v>2020</v>
      </c>
      <c r="C6927">
        <v>3</v>
      </c>
      <c r="D6927" t="s">
        <v>1447</v>
      </c>
      <c r="E6927" t="s">
        <v>1984</v>
      </c>
      <c r="F6927" t="s">
        <v>1748</v>
      </c>
      <c r="H6927" s="165" t="str">
        <f>IF(ISBLANK('Q 6'!H325),"",IF('Q 6'!H325="&lt;please select&gt;","",'Q 6'!H325))</f>
        <v>0</v>
      </c>
    </row>
    <row r="6928" spans="1:10" x14ac:dyDescent="0.3">
      <c r="A6928" t="s">
        <v>2014</v>
      </c>
      <c r="B6928" t="s">
        <v>2020</v>
      </c>
      <c r="C6928">
        <v>4</v>
      </c>
      <c r="D6928" t="s">
        <v>1447</v>
      </c>
      <c r="E6928" t="s">
        <v>1984</v>
      </c>
      <c r="F6928" t="s">
        <v>1748</v>
      </c>
      <c r="H6928" s="165" t="str">
        <f>IF(ISBLANK('Q 6'!H326),"",IF('Q 6'!H326="&lt;please select&gt;","",'Q 6'!H326))</f>
        <v>0</v>
      </c>
    </row>
    <row r="6929" spans="1:11" x14ac:dyDescent="0.3">
      <c r="A6929" t="s">
        <v>2021</v>
      </c>
      <c r="B6929" t="s">
        <v>2022</v>
      </c>
      <c r="C6929">
        <v>0</v>
      </c>
      <c r="D6929" t="s">
        <v>1447</v>
      </c>
      <c r="E6929" t="s">
        <v>2022</v>
      </c>
      <c r="F6929" t="s">
        <v>1759</v>
      </c>
      <c r="K6929" t="str">
        <f>IF(ISBLANK('Q 6'!$I$328),"",IF('Q 6'!$I$328="&lt;please select&gt;","",'Q 6'!$I$328))</f>
        <v>No</v>
      </c>
    </row>
    <row r="6930" spans="1:11" x14ac:dyDescent="0.3">
      <c r="A6930" t="s">
        <v>2021</v>
      </c>
      <c r="B6930" t="s">
        <v>2023</v>
      </c>
      <c r="C6930">
        <v>1</v>
      </c>
      <c r="D6930" t="s">
        <v>1447</v>
      </c>
      <c r="E6930" t="s">
        <v>1989</v>
      </c>
      <c r="F6930" t="s">
        <v>1737</v>
      </c>
      <c r="K6930" t="str">
        <f>IF(ISBLANK('Q 6'!C332),"",IF('Q 6'!C332="&lt;please select&gt;","",'Q 6'!C332))</f>
        <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Yes</v>
      </c>
    </row>
    <row r="6959" spans="1:11" x14ac:dyDescent="0.3">
      <c r="A6959" t="s">
        <v>2026</v>
      </c>
      <c r="B6959" t="s">
        <v>2028</v>
      </c>
      <c r="C6959">
        <v>1</v>
      </c>
      <c r="D6959" t="s">
        <v>1447</v>
      </c>
      <c r="E6959" t="s">
        <v>1994</v>
      </c>
      <c r="F6959" t="s">
        <v>1806</v>
      </c>
      <c r="I6959" s="166" t="str">
        <f>IF(ISBLANK('Q 6'!G352),"",IF('Q 6'!G352="&lt;please select&gt;","",'Q 6'!G352))</f>
        <v>1</v>
      </c>
    </row>
    <row r="6960" spans="1:11" x14ac:dyDescent="0.3">
      <c r="A6960" t="s">
        <v>2026</v>
      </c>
      <c r="B6960" t="s">
        <v>2028</v>
      </c>
      <c r="C6960">
        <v>2</v>
      </c>
      <c r="D6960" t="s">
        <v>1447</v>
      </c>
      <c r="E6960" t="s">
        <v>1994</v>
      </c>
      <c r="F6960" t="s">
        <v>1806</v>
      </c>
      <c r="I6960" s="166" t="str">
        <f>IF(ISBLANK('Q 6'!G353),"",IF('Q 6'!G353="&lt;please select&gt;","",'Q 6'!G353))</f>
        <v>0.5</v>
      </c>
    </row>
    <row r="6961" spans="1:11" x14ac:dyDescent="0.3">
      <c r="A6961" t="s">
        <v>2026</v>
      </c>
      <c r="B6961" t="s">
        <v>2028</v>
      </c>
      <c r="C6961">
        <v>3</v>
      </c>
      <c r="D6961" t="s">
        <v>1447</v>
      </c>
      <c r="E6961" t="s">
        <v>1994</v>
      </c>
      <c r="F6961" t="s">
        <v>1806</v>
      </c>
      <c r="I6961" s="166" t="str">
        <f>IF(ISBLANK('Q 6'!G354),"",IF('Q 6'!G354="&lt;please select&gt;","",'Q 6'!G354))</f>
        <v>0</v>
      </c>
    </row>
    <row r="6962" spans="1:11" x14ac:dyDescent="0.3">
      <c r="A6962" t="s">
        <v>2026</v>
      </c>
      <c r="B6962" t="s">
        <v>2028</v>
      </c>
      <c r="C6962">
        <v>4</v>
      </c>
      <c r="D6962" t="s">
        <v>1447</v>
      </c>
      <c r="E6962" t="s">
        <v>1994</v>
      </c>
      <c r="F6962" t="s">
        <v>1806</v>
      </c>
      <c r="I6962" s="166" t="str">
        <f>IF(ISBLANK('Q 6'!G355),"",IF('Q 6'!G355="&lt;please select&gt;","",'Q 6'!G355))</f>
        <v>0</v>
      </c>
    </row>
    <row r="6963" spans="1:11" x14ac:dyDescent="0.3">
      <c r="A6963" t="s">
        <v>2026</v>
      </c>
      <c r="B6963" t="s">
        <v>2028</v>
      </c>
      <c r="C6963">
        <v>3</v>
      </c>
      <c r="D6963" t="s">
        <v>1447</v>
      </c>
      <c r="E6963" t="s">
        <v>1995</v>
      </c>
      <c r="F6963" t="s">
        <v>1791</v>
      </c>
      <c r="J6963" t="str">
        <f>IF(ISBLANK('Q 6'!$H$354),"",IF('Q 6'!$H$354="&lt;please select&gt;","",'Q 6'!$H$354))</f>
        <v/>
      </c>
    </row>
    <row r="6964" spans="1:11" x14ac:dyDescent="0.3">
      <c r="A6964" t="s">
        <v>2026</v>
      </c>
      <c r="B6964" t="s">
        <v>2028</v>
      </c>
      <c r="C6964">
        <v>4</v>
      </c>
      <c r="D6964" t="s">
        <v>1447</v>
      </c>
      <c r="E6964" t="s">
        <v>1995</v>
      </c>
      <c r="F6964" t="s">
        <v>1791</v>
      </c>
      <c r="J6964" t="str">
        <f>IF(ISBLANK('Q 6'!$I$355),"",IF('Q 6'!$I$355="&lt;please select&gt;","",'Q 6'!$I$355))</f>
        <v/>
      </c>
    </row>
    <row r="6965" spans="1:11" x14ac:dyDescent="0.3">
      <c r="A6965" t="s">
        <v>2026</v>
      </c>
      <c r="B6965" t="s">
        <v>2028</v>
      </c>
      <c r="C6965">
        <v>4</v>
      </c>
      <c r="D6965" t="s">
        <v>1447</v>
      </c>
      <c r="E6965" t="s">
        <v>1996</v>
      </c>
      <c r="F6965" t="s">
        <v>1737</v>
      </c>
      <c r="K6965" t="str">
        <f>IF(ISBLANK('Q 6'!$H$355),"",IF('Q 6'!$H$355="&lt;please select&gt;","",'Q 6'!$H$355))</f>
        <v/>
      </c>
    </row>
    <row r="6966" spans="1:11" x14ac:dyDescent="0.3">
      <c r="A6966" t="s">
        <v>2026</v>
      </c>
      <c r="B6966" t="s">
        <v>2029</v>
      </c>
      <c r="C6966">
        <v>1</v>
      </c>
      <c r="D6966" t="s">
        <v>1447</v>
      </c>
      <c r="E6966" t="s">
        <v>1998</v>
      </c>
      <c r="F6966" t="s">
        <v>1748</v>
      </c>
      <c r="H6966" s="165" t="str">
        <f>IF(ISBLANK('Q 6'!$G$356),"",IF('Q 6'!$G$356="&lt;please select&gt;","",'Q 6'!$G$356))</f>
        <v>0</v>
      </c>
    </row>
    <row r="6967" spans="1:11" x14ac:dyDescent="0.3">
      <c r="A6967" t="s">
        <v>2026</v>
      </c>
      <c r="B6967" t="s">
        <v>2029</v>
      </c>
      <c r="C6967">
        <v>2</v>
      </c>
      <c r="D6967" t="s">
        <v>1447</v>
      </c>
      <c r="E6967" t="s">
        <v>1998</v>
      </c>
      <c r="F6967" t="s">
        <v>1748</v>
      </c>
      <c r="H6967" s="165" t="str">
        <f>IF(ISBLANK('Q 6'!$G$357),"",IF('Q 6'!$G$357="&lt;please select&gt;","",'Q 6'!$G$357))</f>
        <v>0</v>
      </c>
    </row>
    <row r="6968" spans="1:11" x14ac:dyDescent="0.3">
      <c r="A6968" t="s">
        <v>2026</v>
      </c>
      <c r="B6968" t="s">
        <v>2029</v>
      </c>
      <c r="C6968">
        <v>2</v>
      </c>
      <c r="D6968" t="s">
        <v>1447</v>
      </c>
      <c r="E6968" t="s">
        <v>1995</v>
      </c>
      <c r="F6968" t="s">
        <v>1791</v>
      </c>
      <c r="J6968" t="str">
        <f>IF(ISBLANK('Q 6'!$H$357),"",IF('Q 6'!$H$357="&lt;please select&gt;","",'Q 6'!$H$357))</f>
        <v/>
      </c>
    </row>
    <row r="6969" spans="1:11" x14ac:dyDescent="0.3">
      <c r="A6969" t="s">
        <v>2026</v>
      </c>
      <c r="B6969" t="s">
        <v>2030</v>
      </c>
      <c r="C6969">
        <v>1</v>
      </c>
      <c r="D6969" t="s">
        <v>1447</v>
      </c>
      <c r="E6969" t="s">
        <v>2000</v>
      </c>
      <c r="F6969" t="s">
        <v>1741</v>
      </c>
      <c r="G6969" t="str">
        <f>IF(ISBLANK('Q 6'!$G$358),"",IF('Q 6'!$G$358="&lt;please select&gt;","",'Q 6'!$G$358))</f>
        <v>No measures - all reports accepted</v>
      </c>
    </row>
    <row r="6970" spans="1:11" x14ac:dyDescent="0.3">
      <c r="A6970" t="s">
        <v>2026</v>
      </c>
      <c r="B6970" t="s">
        <v>2030</v>
      </c>
      <c r="C6970">
        <v>2</v>
      </c>
      <c r="D6970" t="s">
        <v>1419</v>
      </c>
      <c r="E6970" t="s">
        <v>2000</v>
      </c>
      <c r="F6970" t="s">
        <v>1791</v>
      </c>
      <c r="J6970" t="str">
        <f>IF(ISBLANK('Q 6'!$G$359),"",IF('Q 6'!$G$359="&lt;please select&gt;","",'Q 6'!$G$359))</f>
        <v>No measures - all reports accepted</v>
      </c>
    </row>
    <row r="6971" spans="1:11" x14ac:dyDescent="0.3">
      <c r="A6971" t="s">
        <v>2026</v>
      </c>
      <c r="B6971" t="s">
        <v>2031</v>
      </c>
      <c r="C6971">
        <v>1</v>
      </c>
      <c r="D6971" t="s">
        <v>1447</v>
      </c>
      <c r="E6971" t="s">
        <v>1994</v>
      </c>
      <c r="F6971" t="s">
        <v>1806</v>
      </c>
      <c r="I6971" s="166" t="str">
        <f>IF(ISBLANK('Q 6'!G364),"",IF('Q 6'!G364="&lt;please select&gt;","",'Q 6'!G364))</f>
        <v>0</v>
      </c>
    </row>
    <row r="6972" spans="1:11" x14ac:dyDescent="0.3">
      <c r="A6972" t="s">
        <v>2026</v>
      </c>
      <c r="B6972" t="s">
        <v>2031</v>
      </c>
      <c r="C6972">
        <v>2</v>
      </c>
      <c r="D6972" t="s">
        <v>1447</v>
      </c>
      <c r="E6972" t="s">
        <v>1994</v>
      </c>
      <c r="F6972" t="s">
        <v>1806</v>
      </c>
      <c r="I6972" s="166" t="str">
        <f>IF(ISBLANK('Q 6'!G365),"",IF('Q 6'!G365="&lt;please select&gt;","",'Q 6'!G365))</f>
        <v>0</v>
      </c>
    </row>
    <row r="6973" spans="1:11" x14ac:dyDescent="0.3">
      <c r="A6973" t="s">
        <v>2026</v>
      </c>
      <c r="B6973" t="s">
        <v>2031</v>
      </c>
      <c r="C6973">
        <v>3</v>
      </c>
      <c r="D6973" t="s">
        <v>1447</v>
      </c>
      <c r="E6973" t="s">
        <v>1994</v>
      </c>
      <c r="F6973" t="s">
        <v>1806</v>
      </c>
      <c r="I6973" s="166" t="str">
        <f>IF(ISBLANK('Q 6'!G366),"",IF('Q 6'!G366="&lt;please select&gt;","",'Q 6'!G366))</f>
        <v>0</v>
      </c>
    </row>
    <row r="6974" spans="1:11" x14ac:dyDescent="0.3">
      <c r="A6974" t="s">
        <v>2026</v>
      </c>
      <c r="B6974" t="s">
        <v>2031</v>
      </c>
      <c r="C6974">
        <v>4</v>
      </c>
      <c r="D6974" t="s">
        <v>1447</v>
      </c>
      <c r="E6974" t="s">
        <v>1994</v>
      </c>
      <c r="F6974" t="s">
        <v>1806</v>
      </c>
      <c r="I6974" s="166" t="str">
        <f>IF(ISBLANK('Q 6'!G367),"",IF('Q 6'!G367="&lt;please select&gt;","",'Q 6'!G367))</f>
        <v>0</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0</v>
      </c>
    </row>
    <row r="6979" spans="1:11" x14ac:dyDescent="0.3">
      <c r="A6979" t="s">
        <v>2026</v>
      </c>
      <c r="B6979" t="s">
        <v>2032</v>
      </c>
      <c r="C6979">
        <v>2</v>
      </c>
      <c r="D6979" t="s">
        <v>1447</v>
      </c>
      <c r="E6979" t="s">
        <v>1998</v>
      </c>
      <c r="F6979" t="s">
        <v>1748</v>
      </c>
      <c r="H6979" s="165" t="str">
        <f>IF(ISBLANK('Q 6'!$G$369),"",IF('Q 6'!$G$369="&lt;please select&gt;","",'Q 6'!$G$369))</f>
        <v>0</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0</v>
      </c>
    </row>
    <row r="6982" spans="1:11" x14ac:dyDescent="0.3">
      <c r="A6982" t="s">
        <v>2034</v>
      </c>
      <c r="B6982" t="s">
        <v>2035</v>
      </c>
      <c r="C6982">
        <v>0</v>
      </c>
      <c r="D6982" t="s">
        <v>1447</v>
      </c>
      <c r="E6982" t="s">
        <v>2035</v>
      </c>
      <c r="F6982" t="s">
        <v>1759</v>
      </c>
      <c r="K6982" t="str">
        <f>IF(ISBLANK('Q 6'!$I$373),"",IF('Q 6'!$I$373="&lt;please select&gt;","",'Q 6'!$I$373))</f>
        <v>No</v>
      </c>
    </row>
    <row r="6983" spans="1:11" x14ac:dyDescent="0.3">
      <c r="A6983" t="s">
        <v>2034</v>
      </c>
      <c r="B6983" t="s">
        <v>2036</v>
      </c>
      <c r="C6983">
        <v>0</v>
      </c>
      <c r="D6983" t="s">
        <v>1447</v>
      </c>
      <c r="E6983" t="s">
        <v>2036</v>
      </c>
      <c r="F6983" t="s">
        <v>1748</v>
      </c>
      <c r="H6983" t="str">
        <f>IF(ISBLANK('Q 6'!$H$375),"",IF('Q 6'!$H$375="&lt;please select&gt;","",'Q 6'!$H$375))</f>
        <v>0</v>
      </c>
    </row>
    <row r="6984" spans="1:11" x14ac:dyDescent="0.3">
      <c r="A6984" t="s">
        <v>2037</v>
      </c>
      <c r="B6984" t="s">
        <v>2038</v>
      </c>
      <c r="C6984">
        <v>0</v>
      </c>
      <c r="D6984" t="s">
        <v>1447</v>
      </c>
      <c r="E6984" t="s">
        <v>2038</v>
      </c>
      <c r="F6984" t="s">
        <v>1759</v>
      </c>
      <c r="K6984" t="str">
        <f>IF(ISBLANK('Q 6'!$I$377),"",IF('Q 6'!$I$377="&lt;please select&gt;","",'Q 6'!$I$377))</f>
        <v>No</v>
      </c>
    </row>
    <row r="6985" spans="1:11" x14ac:dyDescent="0.3">
      <c r="A6985" t="s">
        <v>2037</v>
      </c>
      <c r="B6985" t="s">
        <v>2039</v>
      </c>
      <c r="C6985">
        <v>1</v>
      </c>
      <c r="D6985" t="s">
        <v>1447</v>
      </c>
      <c r="E6985" t="s">
        <v>2010</v>
      </c>
      <c r="F6985" t="s">
        <v>1741</v>
      </c>
      <c r="G6985" t="str">
        <f>IF(ISBLANK('Q 6'!C383),"",IF('Q 6'!C383="&lt;please select&gt;","",'Q 6'!C383))</f>
        <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0</v>
      </c>
    </row>
    <row r="7084" spans="1:8" x14ac:dyDescent="0.3">
      <c r="A7084" t="s">
        <v>2048</v>
      </c>
      <c r="B7084" t="s">
        <v>2050</v>
      </c>
      <c r="C7084">
        <v>1</v>
      </c>
      <c r="D7084" t="s">
        <v>1447</v>
      </c>
      <c r="E7084" t="s">
        <v>2016</v>
      </c>
      <c r="F7084" t="s">
        <v>1741</v>
      </c>
      <c r="G7084" t="str">
        <f>IF(ISBLANK('Q 7'!C27),"",IF('Q 7'!C27="&lt;please select&gt;","",'Q 7'!C27))</f>
        <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No</v>
      </c>
    </row>
    <row r="7174" spans="1:11" x14ac:dyDescent="0.3">
      <c r="A7174" t="s">
        <v>2055</v>
      </c>
      <c r="B7174" t="s">
        <v>2057</v>
      </c>
      <c r="C7174">
        <v>1</v>
      </c>
      <c r="D7174" t="s">
        <v>1447</v>
      </c>
      <c r="E7174" t="s">
        <v>2058</v>
      </c>
      <c r="F7174" t="s">
        <v>1806</v>
      </c>
      <c r="I7174" s="165" t="str">
        <f>IF(ISBLANK('Q 8'!G20),"",IF('Q 8'!G20="&lt;please select&gt;","",'Q 8'!G20))</f>
        <v/>
      </c>
    </row>
    <row r="7175" spans="1:11" x14ac:dyDescent="0.3">
      <c r="A7175" t="s">
        <v>2055</v>
      </c>
      <c r="B7175" t="s">
        <v>2057</v>
      </c>
      <c r="C7175">
        <v>2</v>
      </c>
      <c r="D7175" t="s">
        <v>1447</v>
      </c>
      <c r="E7175" t="s">
        <v>2058</v>
      </c>
      <c r="F7175" t="s">
        <v>1806</v>
      </c>
      <c r="I7175" s="165" t="str">
        <f>IF(ISBLANK('Q 8'!G21),"",IF('Q 8'!G21="&lt;please select&gt;","",'Q 8'!G21))</f>
        <v/>
      </c>
    </row>
    <row r="7176" spans="1:11" x14ac:dyDescent="0.3">
      <c r="A7176" t="s">
        <v>2055</v>
      </c>
      <c r="B7176" t="s">
        <v>2057</v>
      </c>
      <c r="C7176">
        <v>3</v>
      </c>
      <c r="D7176" t="s">
        <v>1419</v>
      </c>
      <c r="E7176" t="s">
        <v>2058</v>
      </c>
      <c r="F7176" t="s">
        <v>1806</v>
      </c>
      <c r="I7176" s="165" t="str">
        <f>IF(ISBLANK('Q 8'!G22),"",IF('Q 8'!G22="&lt;please select&gt;","",'Q 8'!G22))</f>
        <v/>
      </c>
    </row>
    <row r="7177" spans="1:11" x14ac:dyDescent="0.3">
      <c r="A7177" t="s">
        <v>2055</v>
      </c>
      <c r="B7177" t="s">
        <v>2057</v>
      </c>
      <c r="C7177">
        <v>4</v>
      </c>
      <c r="D7177" t="s">
        <v>1419</v>
      </c>
      <c r="E7177" t="s">
        <v>2058</v>
      </c>
      <c r="F7177" t="s">
        <v>1806</v>
      </c>
      <c r="I7177" s="165" t="str">
        <f>IF(ISBLANK('Q 8'!G23),"",IF('Q 8'!G23="&lt;please select&gt;","",'Q 8'!G23))</f>
        <v/>
      </c>
    </row>
    <row r="7178" spans="1:11" x14ac:dyDescent="0.3">
      <c r="A7178" t="s">
        <v>2055</v>
      </c>
      <c r="B7178" t="s">
        <v>2057</v>
      </c>
      <c r="C7178">
        <v>5</v>
      </c>
      <c r="D7178" t="s">
        <v>1419</v>
      </c>
      <c r="E7178" t="s">
        <v>2058</v>
      </c>
      <c r="F7178" t="s">
        <v>1806</v>
      </c>
      <c r="I7178" s="165" t="str">
        <f>IF(ISBLANK('Q 8'!G24),"",IF('Q 8'!G24="&lt;please select&gt;","",'Q 8'!G24))</f>
        <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
      </c>
    </row>
    <row r="7181" spans="1:11" x14ac:dyDescent="0.3">
      <c r="A7181" t="s">
        <v>2055</v>
      </c>
      <c r="B7181" t="s">
        <v>2057</v>
      </c>
      <c r="C7181">
        <v>4</v>
      </c>
      <c r="D7181" t="s">
        <v>1419</v>
      </c>
      <c r="E7181" t="s">
        <v>2059</v>
      </c>
      <c r="F7181" t="s">
        <v>1791</v>
      </c>
      <c r="J7181" t="str">
        <f>IF(ISBLANK('Q 8'!E23),"",IF('Q 8'!E23="&lt;please select&gt;","",'Q 8'!E23))</f>
        <v/>
      </c>
    </row>
    <row r="7182" spans="1:11" x14ac:dyDescent="0.3">
      <c r="A7182" t="s">
        <v>2055</v>
      </c>
      <c r="B7182" t="s">
        <v>2057</v>
      </c>
      <c r="C7182">
        <v>5</v>
      </c>
      <c r="D7182" t="s">
        <v>1419</v>
      </c>
      <c r="E7182" t="s">
        <v>2059</v>
      </c>
      <c r="F7182" t="s">
        <v>1791</v>
      </c>
      <c r="J7182" t="str">
        <f>IF(ISBLANK('Q 8'!E24),"",IF('Q 8'!E24="&lt;please select&gt;","",'Q 8'!E24))</f>
        <v/>
      </c>
    </row>
    <row r="7183" spans="1:11" x14ac:dyDescent="0.3">
      <c r="A7183" t="s">
        <v>2055</v>
      </c>
      <c r="B7183" t="s">
        <v>2057</v>
      </c>
      <c r="C7183">
        <v>6</v>
      </c>
      <c r="D7183" t="s">
        <v>1419</v>
      </c>
      <c r="E7183" t="s">
        <v>2059</v>
      </c>
      <c r="F7183" t="s">
        <v>1791</v>
      </c>
      <c r="J7183" t="str">
        <f>IF(ISBLANK('Q 8'!E25),"",IF('Q 8'!E25="&lt;please select&gt;","",'Q 8'!E25))</f>
        <v/>
      </c>
    </row>
    <row r="7184" spans="1:11" x14ac:dyDescent="0.3">
      <c r="A7184" t="s">
        <v>2060</v>
      </c>
      <c r="B7184" t="s">
        <v>2061</v>
      </c>
      <c r="C7184">
        <v>0</v>
      </c>
      <c r="D7184" t="s">
        <v>1447</v>
      </c>
      <c r="E7184" t="s">
        <v>2061</v>
      </c>
      <c r="F7184" t="s">
        <v>1759</v>
      </c>
      <c r="K7184" t="str">
        <f>IF(ISBLANK('Q 8'!$I$29),"",IF('Q 8'!$I$29="&lt;please select&gt;","",'Q 8'!$I$29))</f>
        <v>No</v>
      </c>
    </row>
    <row r="7185" spans="1:11" x14ac:dyDescent="0.3">
      <c r="A7185" t="s">
        <v>2062</v>
      </c>
      <c r="B7185" t="s">
        <v>2063</v>
      </c>
      <c r="C7185">
        <v>1</v>
      </c>
      <c r="D7185" t="s">
        <v>1447</v>
      </c>
      <c r="E7185" t="s">
        <v>1798</v>
      </c>
      <c r="F7185" t="s">
        <v>1748</v>
      </c>
      <c r="H7185" s="165" t="str">
        <f>IF(ISBLANK('Q 8'!$G33),"",IF('Q 8'!$G33="&lt;please select&gt;","",'Q 8'!$G33))</f>
        <v/>
      </c>
    </row>
    <row r="7186" spans="1:11" x14ac:dyDescent="0.3">
      <c r="A7186" t="s">
        <v>2062</v>
      </c>
      <c r="B7186" t="s">
        <v>2063</v>
      </c>
      <c r="C7186">
        <v>2</v>
      </c>
      <c r="D7186" t="s">
        <v>1447</v>
      </c>
      <c r="E7186" t="s">
        <v>1798</v>
      </c>
      <c r="F7186" t="s">
        <v>1748</v>
      </c>
      <c r="H7186" s="165" t="str">
        <f>IF(ISBLANK('Q 8'!$G34),"",IF('Q 8'!$G34="&lt;please select&gt;","",'Q 8'!$G34))</f>
        <v/>
      </c>
    </row>
    <row r="7187" spans="1:11" x14ac:dyDescent="0.3">
      <c r="A7187" t="s">
        <v>2062</v>
      </c>
      <c r="B7187" t="s">
        <v>2063</v>
      </c>
      <c r="C7187">
        <v>3</v>
      </c>
      <c r="D7187" t="s">
        <v>1447</v>
      </c>
      <c r="E7187" t="s">
        <v>1798</v>
      </c>
      <c r="F7187" t="s">
        <v>1748</v>
      </c>
      <c r="H7187" s="165" t="str">
        <f>IF(ISBLANK('Q 8'!$G35),"",IF('Q 8'!$G35="&lt;please select&gt;","",'Q 8'!$G35))</f>
        <v/>
      </c>
    </row>
    <row r="7188" spans="1:11" x14ac:dyDescent="0.3">
      <c r="A7188" t="s">
        <v>2064</v>
      </c>
      <c r="B7188" t="s">
        <v>2065</v>
      </c>
      <c r="C7188">
        <v>0</v>
      </c>
      <c r="D7188" t="s">
        <v>1447</v>
      </c>
      <c r="E7188" t="s">
        <v>2065</v>
      </c>
      <c r="F7188" t="s">
        <v>1759</v>
      </c>
      <c r="K7188" t="str">
        <f>IF(ISBLANK('Q 8'!$I$37),"",IF('Q 8'!$I$37="&lt;please select&gt;","",'Q 8'!$I$37))</f>
        <v>Yes</v>
      </c>
    </row>
    <row r="7189" spans="1:11" x14ac:dyDescent="0.3">
      <c r="A7189" t="s">
        <v>2064</v>
      </c>
      <c r="B7189" t="s">
        <v>2066</v>
      </c>
      <c r="C7189">
        <v>1</v>
      </c>
      <c r="D7189" t="s">
        <v>1447</v>
      </c>
      <c r="E7189" t="s">
        <v>2067</v>
      </c>
      <c r="F7189" t="s">
        <v>1748</v>
      </c>
      <c r="H7189" s="165" t="str">
        <f>IF(ISBLANK('Q 8'!$C$40),"",IF('Q 8'!$C$40="&lt;please select&gt;","",'Q 8'!$C$40))</f>
        <v>0</v>
      </c>
    </row>
    <row r="7190" spans="1:11" x14ac:dyDescent="0.3">
      <c r="A7190" t="s">
        <v>2064</v>
      </c>
      <c r="B7190" t="s">
        <v>2066</v>
      </c>
      <c r="C7190">
        <v>1</v>
      </c>
      <c r="D7190" t="s">
        <v>1447</v>
      </c>
      <c r="E7190" t="s">
        <v>2068</v>
      </c>
      <c r="F7190" t="s">
        <v>1748</v>
      </c>
      <c r="H7190" s="165" t="str">
        <f>IF(ISBLANK('Q 8'!$G$40),"",IF('Q 8'!$G$40="&lt;please select&gt;","",'Q 8'!$G$40))</f>
        <v>1</v>
      </c>
    </row>
    <row r="7191" spans="1:11" x14ac:dyDescent="0.3">
      <c r="A7191" t="s">
        <v>2064</v>
      </c>
      <c r="B7191" t="s">
        <v>2069</v>
      </c>
      <c r="C7191">
        <v>0</v>
      </c>
      <c r="D7191" t="s">
        <v>1447</v>
      </c>
      <c r="E7191" t="s">
        <v>2069</v>
      </c>
      <c r="F7191" t="s">
        <v>1759</v>
      </c>
      <c r="K7191" t="str">
        <f>IF(ISBLANK('Q 8'!$I$42),"",IF('Q 8'!$I$42="&lt;please select&gt;","",'Q 8'!$I$42))</f>
        <v>Yes</v>
      </c>
    </row>
    <row r="7192" spans="1:11" x14ac:dyDescent="0.3">
      <c r="A7192" t="s">
        <v>2064</v>
      </c>
      <c r="B7192" t="s">
        <v>2070</v>
      </c>
      <c r="C7192">
        <v>1</v>
      </c>
      <c r="D7192" t="s">
        <v>1447</v>
      </c>
      <c r="E7192" t="s">
        <v>2067</v>
      </c>
      <c r="F7192" t="s">
        <v>1748</v>
      </c>
      <c r="H7192" s="165" t="str">
        <f>IF(ISBLANK('Q 8'!$C$45),"",IF('Q 8'!$C$45="&lt;please select&gt;","",'Q 8'!$C$45))</f>
        <v>1</v>
      </c>
    </row>
    <row r="7193" spans="1:11" x14ac:dyDescent="0.3">
      <c r="A7193" t="s">
        <v>2064</v>
      </c>
      <c r="B7193" t="s">
        <v>2070</v>
      </c>
      <c r="C7193">
        <v>1</v>
      </c>
      <c r="D7193" t="s">
        <v>1447</v>
      </c>
      <c r="E7193" t="s">
        <v>2068</v>
      </c>
      <c r="F7193" t="s">
        <v>1748</v>
      </c>
      <c r="H7193" s="165" t="str">
        <f>IF(ISBLANK('Q 8'!$G$45),"",IF('Q 8'!$G$45="&lt;please select&gt;","",'Q 8'!$G$45))</f>
        <v>0</v>
      </c>
    </row>
    <row r="7194" spans="1:11" x14ac:dyDescent="0.3">
      <c r="A7194" t="s">
        <v>2064</v>
      </c>
      <c r="B7194" t="s">
        <v>2071</v>
      </c>
      <c r="C7194">
        <v>0</v>
      </c>
      <c r="D7194" t="s">
        <v>1447</v>
      </c>
      <c r="E7194" t="s">
        <v>2071</v>
      </c>
      <c r="F7194" t="s">
        <v>1759</v>
      </c>
      <c r="K7194" t="str">
        <f>IF(ISBLANK('Q 8'!$I$47),"",IF('Q 8'!$I$47="&lt;please select&gt;","",'Q 8'!$I$47))</f>
        <v>No</v>
      </c>
    </row>
    <row r="7195" spans="1:11" x14ac:dyDescent="0.3">
      <c r="A7195" t="s">
        <v>2064</v>
      </c>
      <c r="B7195" t="s">
        <v>2072</v>
      </c>
      <c r="C7195">
        <v>1</v>
      </c>
      <c r="D7195" t="s">
        <v>1447</v>
      </c>
      <c r="E7195" t="s">
        <v>2067</v>
      </c>
      <c r="F7195" t="s">
        <v>1748</v>
      </c>
      <c r="H7195" s="165" t="str">
        <f>IF(ISBLANK('Q 8'!$C$50),"",IF('Q 8'!$C$50="&lt;please select&gt;","",'Q 8'!$C$50))</f>
        <v/>
      </c>
    </row>
    <row r="7196" spans="1:11" x14ac:dyDescent="0.3">
      <c r="A7196" t="s">
        <v>2064</v>
      </c>
      <c r="B7196" t="s">
        <v>2072</v>
      </c>
      <c r="C7196">
        <v>1</v>
      </c>
      <c r="D7196" t="s">
        <v>1447</v>
      </c>
      <c r="E7196" t="s">
        <v>2068</v>
      </c>
      <c r="F7196" t="s">
        <v>1748</v>
      </c>
      <c r="H7196" s="165" t="str">
        <f>IF(ISBLANK('Q 8'!$G$50),"",IF('Q 8'!$G$50="&lt;please select&gt;","",'Q 8'!$G$50))</f>
        <v/>
      </c>
    </row>
    <row r="7197" spans="1:11" x14ac:dyDescent="0.3">
      <c r="A7197" t="s">
        <v>2073</v>
      </c>
      <c r="B7197" t="s">
        <v>2074</v>
      </c>
      <c r="C7197">
        <v>1</v>
      </c>
      <c r="D7197" t="s">
        <v>1447</v>
      </c>
      <c r="E7197" t="s">
        <v>1798</v>
      </c>
      <c r="F7197" t="s">
        <v>1748</v>
      </c>
      <c r="H7197" s="165" t="str">
        <f>IF(ISBLANK('Q 8'!$G54),"",IF('Q 8'!$G54="&lt;please select&gt;","",'Q 8'!$G54))</f>
        <v>1</v>
      </c>
    </row>
    <row r="7198" spans="1:11" x14ac:dyDescent="0.3">
      <c r="A7198" t="s">
        <v>2073</v>
      </c>
      <c r="B7198" t="s">
        <v>2074</v>
      </c>
      <c r="C7198">
        <v>2</v>
      </c>
      <c r="D7198" t="s">
        <v>1447</v>
      </c>
      <c r="E7198" t="s">
        <v>1798</v>
      </c>
      <c r="F7198" t="s">
        <v>1748</v>
      </c>
      <c r="H7198" s="165" t="str">
        <f>IF(ISBLANK('Q 8'!$G55),"",IF('Q 8'!$G55="&lt;please select&gt;","",'Q 8'!$G55))</f>
        <v>7</v>
      </c>
    </row>
    <row r="7199" spans="1:11" x14ac:dyDescent="0.3">
      <c r="A7199" t="s">
        <v>2073</v>
      </c>
      <c r="B7199" t="s">
        <v>2074</v>
      </c>
      <c r="C7199">
        <v>3</v>
      </c>
      <c r="D7199" t="s">
        <v>1447</v>
      </c>
      <c r="E7199" t="s">
        <v>1798</v>
      </c>
      <c r="F7199" t="s">
        <v>1748</v>
      </c>
      <c r="H7199" s="165" t="str">
        <f>IF(ISBLANK('Q 8'!$G56),"",IF('Q 8'!$G56="&lt;please select&gt;","",'Q 8'!$G56))</f>
        <v>0</v>
      </c>
    </row>
    <row r="7200" spans="1:11" x14ac:dyDescent="0.3">
      <c r="A7200" t="s">
        <v>2073</v>
      </c>
      <c r="B7200" t="s">
        <v>2074</v>
      </c>
      <c r="C7200">
        <v>4</v>
      </c>
      <c r="D7200" t="s">
        <v>1447</v>
      </c>
      <c r="E7200" t="s">
        <v>1798</v>
      </c>
      <c r="F7200" t="s">
        <v>1748</v>
      </c>
      <c r="H7200" s="165" t="str">
        <f>IF(ISBLANK('Q 8'!$G57),"",IF('Q 8'!$G57="&lt;please select&gt;","",'Q 8'!$G57))</f>
        <v>0</v>
      </c>
    </row>
    <row r="7201" spans="1:11" x14ac:dyDescent="0.3">
      <c r="A7201" t="s">
        <v>2073</v>
      </c>
      <c r="B7201" t="s">
        <v>2074</v>
      </c>
      <c r="C7201">
        <v>5</v>
      </c>
      <c r="D7201" t="s">
        <v>1447</v>
      </c>
      <c r="E7201" t="s">
        <v>1798</v>
      </c>
      <c r="F7201" t="s">
        <v>1748</v>
      </c>
      <c r="H7201" s="165" t="str">
        <f>IF(ISBLANK('Q 8'!$G58),"",IF('Q 8'!$G58="&lt;please select&gt;","",'Q 8'!$G58))</f>
        <v>0</v>
      </c>
    </row>
    <row r="7202" spans="1:11" x14ac:dyDescent="0.3">
      <c r="A7202" t="s">
        <v>2073</v>
      </c>
      <c r="B7202" t="s">
        <v>2074</v>
      </c>
      <c r="C7202">
        <v>6</v>
      </c>
      <c r="D7202" t="s">
        <v>1419</v>
      </c>
      <c r="E7202" t="s">
        <v>1798</v>
      </c>
      <c r="F7202" t="s">
        <v>1748</v>
      </c>
      <c r="H7202" s="165" t="str">
        <f>IF(ISBLANK('Q 8'!$G59),"",IF('Q 8'!$G59="&lt;please select&gt;","",'Q 8'!$G59))</f>
        <v>3</v>
      </c>
    </row>
    <row r="7203" spans="1:11" x14ac:dyDescent="0.3">
      <c r="A7203" t="s">
        <v>2073</v>
      </c>
      <c r="B7203" t="s">
        <v>2074</v>
      </c>
      <c r="C7203">
        <v>7</v>
      </c>
      <c r="D7203" t="s">
        <v>1419</v>
      </c>
      <c r="E7203" t="s">
        <v>1798</v>
      </c>
      <c r="F7203" t="s">
        <v>1748</v>
      </c>
      <c r="H7203" s="165" t="str">
        <f>IF(ISBLANK('Q 8'!$G60),"",IF('Q 8'!$G60="&lt;please select&gt;","",'Q 8'!$G60))</f>
        <v>13</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Merger with another installation</v>
      </c>
    </row>
    <row r="7207" spans="1:11" x14ac:dyDescent="0.3">
      <c r="A7207" t="s">
        <v>2073</v>
      </c>
      <c r="B7207" t="s">
        <v>2074</v>
      </c>
      <c r="C7207">
        <v>7</v>
      </c>
      <c r="D7207" t="s">
        <v>1419</v>
      </c>
      <c r="E7207" t="s">
        <v>2075</v>
      </c>
      <c r="F7207" t="s">
        <v>1791</v>
      </c>
      <c r="J7207" t="str">
        <f>IF(ISBLANK('Q 8'!E60),"",IF('Q 8'!E60="&lt;please select&gt;","",'Q 8'!E60))</f>
        <v>Article 27a (temporary derrogation; permit not cancelled, unless other conditions satisfied)</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0</v>
      </c>
    </row>
    <row r="7214" spans="1:11" x14ac:dyDescent="0.3">
      <c r="A7214" t="s">
        <v>2080</v>
      </c>
      <c r="B7214" t="s">
        <v>2081</v>
      </c>
      <c r="C7214">
        <v>2</v>
      </c>
      <c r="D7214" t="s">
        <v>1447</v>
      </c>
      <c r="E7214" t="s">
        <v>1798</v>
      </c>
      <c r="F7214" t="s">
        <v>1748</v>
      </c>
      <c r="H7214" s="165" t="str">
        <f>IF(ISBLANK('Q 8'!$H76),"",IF('Q 8'!$H76="&lt;please select&gt;","",'Q 8'!$H76))</f>
        <v>0</v>
      </c>
    </row>
    <row r="7215" spans="1:11" x14ac:dyDescent="0.3">
      <c r="A7215" t="s">
        <v>2080</v>
      </c>
      <c r="B7215" t="s">
        <v>2081</v>
      </c>
      <c r="C7215">
        <v>3</v>
      </c>
      <c r="D7215" t="s">
        <v>1447</v>
      </c>
      <c r="E7215" t="s">
        <v>1798</v>
      </c>
      <c r="F7215" t="s">
        <v>1748</v>
      </c>
      <c r="H7215" s="165" t="str">
        <f>IF(ISBLANK('Q 8'!$H77),"",IF('Q 8'!$H77="&lt;please select&gt;","",'Q 8'!$H77))</f>
        <v>0</v>
      </c>
    </row>
    <row r="7216" spans="1:11" x14ac:dyDescent="0.3">
      <c r="A7216" t="s">
        <v>2082</v>
      </c>
      <c r="B7216" t="s">
        <v>2083</v>
      </c>
      <c r="C7216">
        <v>0</v>
      </c>
      <c r="D7216" t="s">
        <v>1447</v>
      </c>
      <c r="E7216" t="s">
        <v>2083</v>
      </c>
      <c r="F7216" t="s">
        <v>1759</v>
      </c>
      <c r="K7216" t="str">
        <f>IF(ISBLANK('Q 8'!$I$80),"",IF('Q 8'!$I$80="&lt;please select&gt;","",'Q 8'!$I$80))</f>
        <v>No</v>
      </c>
    </row>
    <row r="7217" spans="1:11" x14ac:dyDescent="0.3">
      <c r="A7217" t="s">
        <v>2082</v>
      </c>
      <c r="B7217" t="s">
        <v>2084</v>
      </c>
      <c r="C7217">
        <v>1</v>
      </c>
      <c r="D7217" t="s">
        <v>1447</v>
      </c>
      <c r="E7217" t="s">
        <v>1988</v>
      </c>
      <c r="F7217" t="s">
        <v>1737</v>
      </c>
      <c r="K7217" t="str">
        <f>IF(ISBLANK('Q 8'!$C83),"",IF('Q 8'!$C83="&lt;please select&gt;","",'Q 8'!$C83))</f>
        <v/>
      </c>
    </row>
    <row r="7218" spans="1:11" x14ac:dyDescent="0.3">
      <c r="A7218" t="s">
        <v>2082</v>
      </c>
      <c r="B7218" t="s">
        <v>2084</v>
      </c>
      <c r="C7218">
        <v>2</v>
      </c>
      <c r="D7218" t="s">
        <v>1447</v>
      </c>
      <c r="E7218" t="s">
        <v>1988</v>
      </c>
      <c r="F7218" t="s">
        <v>1737</v>
      </c>
      <c r="K7218" t="str">
        <f>IF(ISBLANK('Q 8'!$C84),"",IF('Q 8'!$C84="&lt;please select&gt;","",'Q 8'!$C84))</f>
        <v/>
      </c>
    </row>
    <row r="7219" spans="1:11" x14ac:dyDescent="0.3">
      <c r="A7219" t="s">
        <v>2082</v>
      </c>
      <c r="B7219" t="s">
        <v>2084</v>
      </c>
      <c r="C7219">
        <v>3</v>
      </c>
      <c r="D7219" t="s">
        <v>1447</v>
      </c>
      <c r="E7219" t="s">
        <v>1988</v>
      </c>
      <c r="F7219" t="s">
        <v>1737</v>
      </c>
      <c r="K7219" t="str">
        <f>IF(ISBLANK('Q 8'!$C85),"",IF('Q 8'!$C85="&lt;please select&gt;","",'Q 8'!$C85))</f>
        <v/>
      </c>
    </row>
    <row r="7220" spans="1:11" x14ac:dyDescent="0.3">
      <c r="A7220" t="s">
        <v>2082</v>
      </c>
      <c r="B7220" t="s">
        <v>2084</v>
      </c>
      <c r="C7220">
        <v>4</v>
      </c>
      <c r="D7220" t="s">
        <v>1447</v>
      </c>
      <c r="E7220" t="s">
        <v>1988</v>
      </c>
      <c r="F7220" t="s">
        <v>1737</v>
      </c>
      <c r="K7220" t="str">
        <f>IF(ISBLANK('Q 8'!$C86),"",IF('Q 8'!$C86="&lt;please select&gt;","",'Q 8'!$C86))</f>
        <v/>
      </c>
    </row>
    <row r="7221" spans="1:11" x14ac:dyDescent="0.3">
      <c r="A7221" t="s">
        <v>2082</v>
      </c>
      <c r="B7221" t="s">
        <v>2084</v>
      </c>
      <c r="C7221">
        <v>5</v>
      </c>
      <c r="D7221" t="s">
        <v>1447</v>
      </c>
      <c r="E7221" t="s">
        <v>1988</v>
      </c>
      <c r="F7221" t="s">
        <v>1737</v>
      </c>
      <c r="K7221" t="str">
        <f>IF(ISBLANK('Q 8'!$C87),"",IF('Q 8'!$C87="&lt;please select&gt;","",'Q 8'!$C87))</f>
        <v/>
      </c>
    </row>
    <row r="7222" spans="1:11" x14ac:dyDescent="0.3">
      <c r="A7222" t="s">
        <v>2082</v>
      </c>
      <c r="B7222" t="s">
        <v>2084</v>
      </c>
      <c r="C7222">
        <v>6</v>
      </c>
      <c r="D7222" t="s">
        <v>1447</v>
      </c>
      <c r="E7222" t="s">
        <v>1988</v>
      </c>
      <c r="F7222" t="s">
        <v>1737</v>
      </c>
      <c r="K7222" t="str">
        <f>IF(ISBLANK('Q 8'!$C88),"",IF('Q 8'!$C88="&lt;please select&gt;","",'Q 8'!$C88))</f>
        <v/>
      </c>
    </row>
    <row r="7223" spans="1:11" x14ac:dyDescent="0.3">
      <c r="A7223" t="s">
        <v>2082</v>
      </c>
      <c r="B7223" t="s">
        <v>2084</v>
      </c>
      <c r="C7223">
        <v>7</v>
      </c>
      <c r="D7223" t="s">
        <v>1447</v>
      </c>
      <c r="E7223" t="s">
        <v>1988</v>
      </c>
      <c r="F7223" t="s">
        <v>1737</v>
      </c>
      <c r="K7223" t="str">
        <f>IF(ISBLANK('Q 8'!$C89),"",IF('Q 8'!$C89="&lt;please select&gt;","",'Q 8'!$C89))</f>
        <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
      </c>
    </row>
    <row r="7268" spans="1:11" x14ac:dyDescent="0.3">
      <c r="A7268" t="s">
        <v>2082</v>
      </c>
      <c r="B7268" t="s">
        <v>2084</v>
      </c>
      <c r="C7268">
        <v>2</v>
      </c>
      <c r="D7268" t="s">
        <v>1447</v>
      </c>
      <c r="E7268" t="s">
        <v>1989</v>
      </c>
      <c r="F7268" t="s">
        <v>1737</v>
      </c>
      <c r="K7268" t="str">
        <f>IF(ISBLANK('Q 8'!$E84),"",IF('Q 8'!$E84="&lt;please select&gt;","",'Q 8'!$E84))</f>
        <v/>
      </c>
    </row>
    <row r="7269" spans="1:11" x14ac:dyDescent="0.3">
      <c r="A7269" t="s">
        <v>2082</v>
      </c>
      <c r="B7269" t="s">
        <v>2084</v>
      </c>
      <c r="C7269">
        <v>3</v>
      </c>
      <c r="D7269" t="s">
        <v>1447</v>
      </c>
      <c r="E7269" t="s">
        <v>1989</v>
      </c>
      <c r="F7269" t="s">
        <v>1737</v>
      </c>
      <c r="K7269" t="str">
        <f>IF(ISBLANK('Q 8'!$E85),"",IF('Q 8'!$E85="&lt;please select&gt;","",'Q 8'!$E85))</f>
        <v/>
      </c>
    </row>
    <row r="7270" spans="1:11" x14ac:dyDescent="0.3">
      <c r="A7270" t="s">
        <v>2082</v>
      </c>
      <c r="B7270" t="s">
        <v>2084</v>
      </c>
      <c r="C7270">
        <v>4</v>
      </c>
      <c r="D7270" t="s">
        <v>1447</v>
      </c>
      <c r="E7270" t="s">
        <v>1989</v>
      </c>
      <c r="F7270" t="s">
        <v>1737</v>
      </c>
      <c r="K7270" t="str">
        <f>IF(ISBLANK('Q 8'!$E86),"",IF('Q 8'!$E86="&lt;please select&gt;","",'Q 8'!$E86))</f>
        <v/>
      </c>
    </row>
    <row r="7271" spans="1:11" x14ac:dyDescent="0.3">
      <c r="A7271" t="s">
        <v>2082</v>
      </c>
      <c r="B7271" t="s">
        <v>2084</v>
      </c>
      <c r="C7271">
        <v>5</v>
      </c>
      <c r="D7271" t="s">
        <v>1447</v>
      </c>
      <c r="E7271" t="s">
        <v>1989</v>
      </c>
      <c r="F7271" t="s">
        <v>1737</v>
      </c>
      <c r="K7271" t="str">
        <f>IF(ISBLANK('Q 8'!$E87),"",IF('Q 8'!$E87="&lt;please select&gt;","",'Q 8'!$E87))</f>
        <v/>
      </c>
    </row>
    <row r="7272" spans="1:11" x14ac:dyDescent="0.3">
      <c r="A7272" t="s">
        <v>2082</v>
      </c>
      <c r="B7272" t="s">
        <v>2084</v>
      </c>
      <c r="C7272">
        <v>6</v>
      </c>
      <c r="D7272" t="s">
        <v>1447</v>
      </c>
      <c r="E7272" t="s">
        <v>1989</v>
      </c>
      <c r="F7272" t="s">
        <v>1737</v>
      </c>
      <c r="K7272" t="str">
        <f>IF(ISBLANK('Q 8'!$E88),"",IF('Q 8'!$E88="&lt;please select&gt;","",'Q 8'!$E88))</f>
        <v/>
      </c>
    </row>
    <row r="7273" spans="1:11" x14ac:dyDescent="0.3">
      <c r="A7273" t="s">
        <v>2082</v>
      </c>
      <c r="B7273" t="s">
        <v>2084</v>
      </c>
      <c r="C7273">
        <v>7</v>
      </c>
      <c r="D7273" t="s">
        <v>1447</v>
      </c>
      <c r="E7273" t="s">
        <v>1989</v>
      </c>
      <c r="F7273" t="s">
        <v>1737</v>
      </c>
      <c r="K7273" t="str">
        <f>IF(ISBLANK('Q 8'!$E89),"",IF('Q 8'!$E89="&lt;please select&gt;","",'Q 8'!$E89))</f>
        <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
      </c>
    </row>
    <row r="7318" spans="1:11" x14ac:dyDescent="0.3">
      <c r="A7318" t="s">
        <v>2082</v>
      </c>
      <c r="B7318" t="s">
        <v>2084</v>
      </c>
      <c r="C7318">
        <v>2</v>
      </c>
      <c r="D7318" t="s">
        <v>1447</v>
      </c>
      <c r="E7318" t="s">
        <v>1798</v>
      </c>
      <c r="F7318" t="s">
        <v>1748</v>
      </c>
      <c r="H7318" s="165" t="str">
        <f>IF(ISBLANK('Q 8'!F84),"",IF('Q 8'!F84="&lt;please select&gt;","",'Q 8'!F84))</f>
        <v/>
      </c>
    </row>
    <row r="7319" spans="1:11" x14ac:dyDescent="0.3">
      <c r="A7319" t="s">
        <v>2082</v>
      </c>
      <c r="B7319" t="s">
        <v>2084</v>
      </c>
      <c r="C7319">
        <v>3</v>
      </c>
      <c r="D7319" t="s">
        <v>1447</v>
      </c>
      <c r="E7319" t="s">
        <v>1798</v>
      </c>
      <c r="F7319" t="s">
        <v>1748</v>
      </c>
      <c r="H7319" s="165" t="str">
        <f>IF(ISBLANK('Q 8'!F85),"",IF('Q 8'!F85="&lt;please select&gt;","",'Q 8'!F85))</f>
        <v/>
      </c>
    </row>
    <row r="7320" spans="1:11" x14ac:dyDescent="0.3">
      <c r="A7320" t="s">
        <v>2082</v>
      </c>
      <c r="B7320" t="s">
        <v>2084</v>
      </c>
      <c r="C7320">
        <v>4</v>
      </c>
      <c r="D7320" t="s">
        <v>1447</v>
      </c>
      <c r="E7320" t="s">
        <v>1798</v>
      </c>
      <c r="F7320" t="s">
        <v>1748</v>
      </c>
      <c r="H7320" s="165" t="str">
        <f>IF(ISBLANK('Q 8'!F86),"",IF('Q 8'!F86="&lt;please select&gt;","",'Q 8'!F86))</f>
        <v/>
      </c>
    </row>
    <row r="7321" spans="1:11" x14ac:dyDescent="0.3">
      <c r="A7321" t="s">
        <v>2082</v>
      </c>
      <c r="B7321" t="s">
        <v>2084</v>
      </c>
      <c r="C7321">
        <v>5</v>
      </c>
      <c r="D7321" t="s">
        <v>1447</v>
      </c>
      <c r="E7321" t="s">
        <v>1798</v>
      </c>
      <c r="F7321" t="s">
        <v>1748</v>
      </c>
      <c r="H7321" s="165" t="str">
        <f>IF(ISBLANK('Q 8'!F87),"",IF('Q 8'!F87="&lt;please select&gt;","",'Q 8'!F87))</f>
        <v/>
      </c>
    </row>
    <row r="7322" spans="1:11" x14ac:dyDescent="0.3">
      <c r="A7322" t="s">
        <v>2082</v>
      </c>
      <c r="B7322" t="s">
        <v>2084</v>
      </c>
      <c r="C7322">
        <v>6</v>
      </c>
      <c r="D7322" t="s">
        <v>1447</v>
      </c>
      <c r="E7322" t="s">
        <v>1798</v>
      </c>
      <c r="F7322" t="s">
        <v>1748</v>
      </c>
      <c r="H7322" s="165" t="str">
        <f>IF(ISBLANK('Q 8'!F88),"",IF('Q 8'!F88="&lt;please select&gt;","",'Q 8'!F88))</f>
        <v/>
      </c>
    </row>
    <row r="7323" spans="1:11" x14ac:dyDescent="0.3">
      <c r="A7323" t="s">
        <v>2082</v>
      </c>
      <c r="B7323" t="s">
        <v>2084</v>
      </c>
      <c r="C7323">
        <v>7</v>
      </c>
      <c r="D7323" t="s">
        <v>1447</v>
      </c>
      <c r="E7323" t="s">
        <v>1798</v>
      </c>
      <c r="F7323" t="s">
        <v>1748</v>
      </c>
      <c r="H7323" s="165" t="str">
        <f>IF(ISBLANK('Q 8'!F89),"",IF('Q 8'!F89="&lt;please select&gt;","",'Q 8'!F89))</f>
        <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
      </c>
    </row>
    <row r="7368" spans="1:8" x14ac:dyDescent="0.3">
      <c r="A7368" t="s">
        <v>2082</v>
      </c>
      <c r="B7368" t="s">
        <v>2084</v>
      </c>
      <c r="C7368">
        <v>2</v>
      </c>
      <c r="D7368" t="s">
        <v>1447</v>
      </c>
      <c r="E7368" t="s">
        <v>1972</v>
      </c>
      <c r="F7368" t="s">
        <v>1748</v>
      </c>
      <c r="H7368" s="165" t="str">
        <f>IF(ISBLANK('Q 8'!$G84),"",IF('Q 8'!$G84="&lt;please select&gt;","",'Q 8'!$G84))</f>
        <v/>
      </c>
    </row>
    <row r="7369" spans="1:8" x14ac:dyDescent="0.3">
      <c r="A7369" t="s">
        <v>2082</v>
      </c>
      <c r="B7369" t="s">
        <v>2084</v>
      </c>
      <c r="C7369">
        <v>3</v>
      </c>
      <c r="D7369" t="s">
        <v>1447</v>
      </c>
      <c r="E7369" t="s">
        <v>1972</v>
      </c>
      <c r="F7369" t="s">
        <v>1748</v>
      </c>
      <c r="H7369" s="165" t="str">
        <f>IF(ISBLANK('Q 8'!$G85),"",IF('Q 8'!$G85="&lt;please select&gt;","",'Q 8'!$G85))</f>
        <v/>
      </c>
    </row>
    <row r="7370" spans="1:8" x14ac:dyDescent="0.3">
      <c r="A7370" t="s">
        <v>2082</v>
      </c>
      <c r="B7370" t="s">
        <v>2084</v>
      </c>
      <c r="C7370">
        <v>4</v>
      </c>
      <c r="D7370" t="s">
        <v>1447</v>
      </c>
      <c r="E7370" t="s">
        <v>1972</v>
      </c>
      <c r="F7370" t="s">
        <v>1748</v>
      </c>
      <c r="H7370" s="165" t="str">
        <f>IF(ISBLANK('Q 8'!$G86),"",IF('Q 8'!$G86="&lt;please select&gt;","",'Q 8'!$G86))</f>
        <v/>
      </c>
    </row>
    <row r="7371" spans="1:8" x14ac:dyDescent="0.3">
      <c r="A7371" t="s">
        <v>2082</v>
      </c>
      <c r="B7371" t="s">
        <v>2084</v>
      </c>
      <c r="C7371">
        <v>5</v>
      </c>
      <c r="D7371" t="s">
        <v>1447</v>
      </c>
      <c r="E7371" t="s">
        <v>1972</v>
      </c>
      <c r="F7371" t="s">
        <v>1748</v>
      </c>
      <c r="H7371" s="165" t="str">
        <f>IF(ISBLANK('Q 8'!$G87),"",IF('Q 8'!$G87="&lt;please select&gt;","",'Q 8'!$G87))</f>
        <v/>
      </c>
    </row>
    <row r="7372" spans="1:8" x14ac:dyDescent="0.3">
      <c r="A7372" t="s">
        <v>2082</v>
      </c>
      <c r="B7372" t="s">
        <v>2084</v>
      </c>
      <c r="C7372">
        <v>6</v>
      </c>
      <c r="D7372" t="s">
        <v>1447</v>
      </c>
      <c r="E7372" t="s">
        <v>1972</v>
      </c>
      <c r="F7372" t="s">
        <v>1748</v>
      </c>
      <c r="H7372" s="165" t="str">
        <f>IF(ISBLANK('Q 8'!$G88),"",IF('Q 8'!$G88="&lt;please select&gt;","",'Q 8'!$G88))</f>
        <v/>
      </c>
    </row>
    <row r="7373" spans="1:8" x14ac:dyDescent="0.3">
      <c r="A7373" t="s">
        <v>2082</v>
      </c>
      <c r="B7373" t="s">
        <v>2084</v>
      </c>
      <c r="C7373">
        <v>7</v>
      </c>
      <c r="D7373" t="s">
        <v>1447</v>
      </c>
      <c r="E7373" t="s">
        <v>1972</v>
      </c>
      <c r="F7373" t="s">
        <v>1748</v>
      </c>
      <c r="H7373" s="165" t="str">
        <f>IF(ISBLANK('Q 8'!$G89),"",IF('Q 8'!$G89="&lt;please select&gt;","",'Q 8'!$G89))</f>
        <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
      </c>
    </row>
    <row r="7418" spans="1:8" x14ac:dyDescent="0.3">
      <c r="A7418" t="s">
        <v>2082</v>
      </c>
      <c r="B7418" t="s">
        <v>2084</v>
      </c>
      <c r="C7418">
        <v>2</v>
      </c>
      <c r="D7418" t="s">
        <v>1447</v>
      </c>
      <c r="E7418" t="s">
        <v>2085</v>
      </c>
      <c r="F7418" t="s">
        <v>1748</v>
      </c>
      <c r="H7418" s="165" t="str">
        <f>IF(ISBLANK('Q 8'!$H84),"",IF('Q 8'!$H84="&lt;please select&gt;","",'Q 8'!$H84))</f>
        <v/>
      </c>
    </row>
    <row r="7419" spans="1:8" x14ac:dyDescent="0.3">
      <c r="A7419" t="s">
        <v>2082</v>
      </c>
      <c r="B7419" t="s">
        <v>2084</v>
      </c>
      <c r="C7419">
        <v>3</v>
      </c>
      <c r="D7419" t="s">
        <v>1447</v>
      </c>
      <c r="E7419" t="s">
        <v>2085</v>
      </c>
      <c r="F7419" t="s">
        <v>1748</v>
      </c>
      <c r="H7419" s="165" t="str">
        <f>IF(ISBLANK('Q 8'!$H85),"",IF('Q 8'!$H85="&lt;please select&gt;","",'Q 8'!$H85))</f>
        <v/>
      </c>
    </row>
    <row r="7420" spans="1:8" x14ac:dyDescent="0.3">
      <c r="A7420" t="s">
        <v>2082</v>
      </c>
      <c r="B7420" t="s">
        <v>2084</v>
      </c>
      <c r="C7420">
        <v>4</v>
      </c>
      <c r="D7420" t="s">
        <v>1447</v>
      </c>
      <c r="E7420" t="s">
        <v>2085</v>
      </c>
      <c r="F7420" t="s">
        <v>1748</v>
      </c>
      <c r="H7420" s="165" t="str">
        <f>IF(ISBLANK('Q 8'!$H86),"",IF('Q 8'!$H86="&lt;please select&gt;","",'Q 8'!$H86))</f>
        <v/>
      </c>
    </row>
    <row r="7421" spans="1:8" x14ac:dyDescent="0.3">
      <c r="A7421" t="s">
        <v>2082</v>
      </c>
      <c r="B7421" t="s">
        <v>2084</v>
      </c>
      <c r="C7421">
        <v>5</v>
      </c>
      <c r="D7421" t="s">
        <v>1447</v>
      </c>
      <c r="E7421" t="s">
        <v>2085</v>
      </c>
      <c r="F7421" t="s">
        <v>1748</v>
      </c>
      <c r="H7421" s="165" t="str">
        <f>IF(ISBLANK('Q 8'!$H87),"",IF('Q 8'!$H87="&lt;please select&gt;","",'Q 8'!$H87))</f>
        <v/>
      </c>
    </row>
    <row r="7422" spans="1:8" x14ac:dyDescent="0.3">
      <c r="A7422" t="s">
        <v>2082</v>
      </c>
      <c r="B7422" t="s">
        <v>2084</v>
      </c>
      <c r="C7422">
        <v>6</v>
      </c>
      <c r="D7422" t="s">
        <v>1447</v>
      </c>
      <c r="E7422" t="s">
        <v>2085</v>
      </c>
      <c r="F7422" t="s">
        <v>1748</v>
      </c>
      <c r="H7422" s="165" t="str">
        <f>IF(ISBLANK('Q 8'!$H88),"",IF('Q 8'!$H88="&lt;please select&gt;","",'Q 8'!$H88))</f>
        <v/>
      </c>
    </row>
    <row r="7423" spans="1:8" x14ac:dyDescent="0.3">
      <c r="A7423" t="s">
        <v>2082</v>
      </c>
      <c r="B7423" t="s">
        <v>2084</v>
      </c>
      <c r="C7423">
        <v>7</v>
      </c>
      <c r="D7423" t="s">
        <v>1447</v>
      </c>
      <c r="E7423" t="s">
        <v>2085</v>
      </c>
      <c r="F7423" t="s">
        <v>1748</v>
      </c>
      <c r="H7423" s="165" t="str">
        <f>IF(ISBLANK('Q 8'!$H89),"",IF('Q 8'!$H89="&lt;please select&gt;","",'Q 8'!$H89))</f>
        <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No</v>
      </c>
    </row>
    <row r="7468" spans="1:11" x14ac:dyDescent="0.3">
      <c r="A7468" t="s">
        <v>2086</v>
      </c>
      <c r="B7468" t="s">
        <v>2088</v>
      </c>
      <c r="C7468">
        <v>0</v>
      </c>
      <c r="D7468" t="s">
        <v>1447</v>
      </c>
      <c r="E7468" t="s">
        <v>2088</v>
      </c>
      <c r="F7468" t="s">
        <v>1741</v>
      </c>
      <c r="G7468" t="str">
        <f>IF(ISBLANK('Q 8'!$G$140),"",IF('Q 8'!$G$140="&lt;please select&gt;","",'Q 8'!$G$140))</f>
        <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0</v>
      </c>
    </row>
    <row r="7472" spans="1:11" x14ac:dyDescent="0.3">
      <c r="A7472" t="s">
        <v>2092</v>
      </c>
      <c r="B7472" t="s">
        <v>2093</v>
      </c>
      <c r="C7472">
        <v>2</v>
      </c>
      <c r="D7472" t="s">
        <v>1447</v>
      </c>
      <c r="E7472" t="s">
        <v>1798</v>
      </c>
      <c r="F7472" t="s">
        <v>1748</v>
      </c>
      <c r="H7472" s="165" t="str">
        <f>IF(ISBLANK('Q 8'!$F150),"",IF('Q 8'!$F150="&lt;please select&gt;","",'Q 8'!$F150))</f>
        <v>0</v>
      </c>
    </row>
    <row r="7473" spans="1:11" x14ac:dyDescent="0.3">
      <c r="A7473" t="s">
        <v>2092</v>
      </c>
      <c r="B7473" t="s">
        <v>2093</v>
      </c>
      <c r="C7473">
        <v>3</v>
      </c>
      <c r="D7473" t="s">
        <v>1447</v>
      </c>
      <c r="E7473" t="s">
        <v>1798</v>
      </c>
      <c r="F7473" t="s">
        <v>1748</v>
      </c>
      <c r="H7473" s="165" t="str">
        <f>IF(ISBLANK('Q 8'!$F151),"",IF('Q 8'!$F151="&lt;please select&gt;","",'Q 8'!$F151))</f>
        <v>0</v>
      </c>
    </row>
    <row r="7474" spans="1:11" x14ac:dyDescent="0.3">
      <c r="A7474" t="s">
        <v>2092</v>
      </c>
      <c r="B7474" t="s">
        <v>2093</v>
      </c>
      <c r="C7474">
        <v>4</v>
      </c>
      <c r="D7474" t="s">
        <v>1447</v>
      </c>
      <c r="E7474" t="s">
        <v>1798</v>
      </c>
      <c r="F7474" t="s">
        <v>1748</v>
      </c>
      <c r="H7474" s="165" t="str">
        <f>IF(ISBLANK('Q 8'!$F152),"",IF('Q 8'!$F152="&lt;please select&gt;","",'Q 8'!$F152))</f>
        <v>0</v>
      </c>
    </row>
    <row r="7475" spans="1:11" x14ac:dyDescent="0.3">
      <c r="A7475" t="s">
        <v>2092</v>
      </c>
      <c r="B7475" t="s">
        <v>2093</v>
      </c>
      <c r="C7475">
        <v>1</v>
      </c>
      <c r="D7475" t="s">
        <v>1447</v>
      </c>
      <c r="E7475" t="s">
        <v>2094</v>
      </c>
      <c r="F7475" t="s">
        <v>1748</v>
      </c>
      <c r="H7475" s="165" t="str">
        <f>IF(ISBLANK('Q 8'!$H149),"",IF('Q 8'!$H149="&lt;please select&gt;","",'Q 8'!$H149))</f>
        <v>0</v>
      </c>
    </row>
    <row r="7476" spans="1:11" x14ac:dyDescent="0.3">
      <c r="A7476" t="s">
        <v>2092</v>
      </c>
      <c r="B7476" t="s">
        <v>2093</v>
      </c>
      <c r="C7476">
        <v>2</v>
      </c>
      <c r="D7476" t="s">
        <v>1447</v>
      </c>
      <c r="E7476" t="s">
        <v>2094</v>
      </c>
      <c r="F7476" t="s">
        <v>1748</v>
      </c>
      <c r="H7476" s="165" t="str">
        <f>IF(ISBLANK('Q 8'!$H150),"",IF('Q 8'!$H150="&lt;please select&gt;","",'Q 8'!$H150))</f>
        <v>0</v>
      </c>
    </row>
    <row r="7477" spans="1:11" x14ac:dyDescent="0.3">
      <c r="A7477" t="s">
        <v>2092</v>
      </c>
      <c r="B7477" t="s">
        <v>2093</v>
      </c>
      <c r="C7477">
        <v>3</v>
      </c>
      <c r="D7477" t="s">
        <v>1447</v>
      </c>
      <c r="E7477" t="s">
        <v>2094</v>
      </c>
      <c r="F7477" t="s">
        <v>1748</v>
      </c>
      <c r="H7477" s="165" t="str">
        <f>IF(ISBLANK('Q 8'!$H151),"",IF('Q 8'!$H151="&lt;please select&gt;","",'Q 8'!$H151))</f>
        <v>0</v>
      </c>
    </row>
    <row r="7478" spans="1:11" x14ac:dyDescent="0.3">
      <c r="A7478" t="s">
        <v>2092</v>
      </c>
      <c r="B7478" t="s">
        <v>2093</v>
      </c>
      <c r="C7478">
        <v>4</v>
      </c>
      <c r="D7478" t="s">
        <v>1447</v>
      </c>
      <c r="E7478" t="s">
        <v>2094</v>
      </c>
      <c r="F7478" t="s">
        <v>1748</v>
      </c>
      <c r="H7478" s="165" t="str">
        <f>IF(ISBLANK('Q 8'!$H152),"",IF('Q 8'!$H152="&lt;please select&gt;","",'Q 8'!$H152))</f>
        <v>0</v>
      </c>
    </row>
    <row r="7479" spans="1:11" x14ac:dyDescent="0.3">
      <c r="A7479" t="s">
        <v>2092</v>
      </c>
      <c r="B7479" t="s">
        <v>2095</v>
      </c>
      <c r="C7479">
        <v>0</v>
      </c>
      <c r="D7479" t="s">
        <v>1447</v>
      </c>
      <c r="E7479" t="s">
        <v>2095</v>
      </c>
      <c r="F7479" t="s">
        <v>1759</v>
      </c>
      <c r="K7479" t="str">
        <f>IF(ISBLANK('Q 8'!$I$154),"",IF('Q 8'!$I$154="&lt;please select&gt;","",'Q 8'!$I$154))</f>
        <v>Yes</v>
      </c>
    </row>
    <row r="7480" spans="1:11" x14ac:dyDescent="0.3">
      <c r="A7480" t="s">
        <v>2096</v>
      </c>
      <c r="B7480" t="s">
        <v>2097</v>
      </c>
      <c r="C7480">
        <v>1</v>
      </c>
      <c r="D7480" t="s">
        <v>1447</v>
      </c>
      <c r="E7480" t="s">
        <v>1988</v>
      </c>
      <c r="F7480" t="s">
        <v>1737</v>
      </c>
      <c r="K7480" t="str">
        <f>IF(ISBLANK('Q 8'!$C157),"",IF('Q 8'!$C157="&lt;please select&gt;","",'Q 8'!$C157))</f>
        <v>20 - Combustion of fuels as specified in Annex I of Directive 2003/87/EC</v>
      </c>
    </row>
    <row r="7481" spans="1:11" x14ac:dyDescent="0.3">
      <c r="A7481" t="s">
        <v>2096</v>
      </c>
      <c r="B7481" t="s">
        <v>2097</v>
      </c>
      <c r="C7481">
        <v>2</v>
      </c>
      <c r="D7481" t="s">
        <v>1447</v>
      </c>
      <c r="E7481" t="s">
        <v>1988</v>
      </c>
      <c r="F7481" t="s">
        <v>1737</v>
      </c>
      <c r="K7481" t="str">
        <f>IF(ISBLANK('Q 8'!$C158),"",IF('Q 8'!$C158="&lt;please select&gt;","",'Q 8'!$C158))</f>
        <v>20 - Combustion of fuels as specified in Annex I of Directive 2003/87/EC</v>
      </c>
    </row>
    <row r="7482" spans="1:11" x14ac:dyDescent="0.3">
      <c r="A7482" t="s">
        <v>2096</v>
      </c>
      <c r="B7482" t="s">
        <v>2097</v>
      </c>
      <c r="C7482">
        <v>3</v>
      </c>
      <c r="D7482" t="s">
        <v>1447</v>
      </c>
      <c r="E7482" t="s">
        <v>1988</v>
      </c>
      <c r="F7482" t="s">
        <v>1737</v>
      </c>
      <c r="K7482" t="str">
        <f>IF(ISBLANK('Q 8'!$C159),"",IF('Q 8'!$C159="&lt;please select&gt;","",'Q 8'!$C159))</f>
        <v>32 - Manufacture of ceramic products as specified in Annex I of Directive 2003/87/EC</v>
      </c>
    </row>
    <row r="7483" spans="1:11" x14ac:dyDescent="0.3">
      <c r="A7483" t="s">
        <v>2096</v>
      </c>
      <c r="B7483" t="s">
        <v>2097</v>
      </c>
      <c r="C7483">
        <v>4</v>
      </c>
      <c r="D7483" t="s">
        <v>1447</v>
      </c>
      <c r="E7483" t="s">
        <v>1988</v>
      </c>
      <c r="F7483" t="s">
        <v>1737</v>
      </c>
      <c r="K7483" t="str">
        <f>IF(ISBLANK('Q 8'!$C160),"",IF('Q 8'!$C160="&lt;please select&gt;","",'Q 8'!$C160))</f>
        <v>25 - Production or processing of ferrous metals as specified in Annex I of Directive 2003/87/EC</v>
      </c>
    </row>
    <row r="7484" spans="1:11" x14ac:dyDescent="0.3">
      <c r="A7484" t="s">
        <v>2096</v>
      </c>
      <c r="B7484" t="s">
        <v>2097</v>
      </c>
      <c r="C7484">
        <v>5</v>
      </c>
      <c r="D7484" t="s">
        <v>1447</v>
      </c>
      <c r="E7484" t="s">
        <v>1988</v>
      </c>
      <c r="F7484" t="s">
        <v>1737</v>
      </c>
      <c r="K7484" t="str">
        <f>IF(ISBLANK('Q 8'!$C161),"",IF('Q 8'!$C161="&lt;please select&gt;","",'Q 8'!$C161))</f>
        <v>31 - Manufacture of glass as specified in Annex I of Directive 2003/87/EC</v>
      </c>
    </row>
    <row r="7485" spans="1:11" x14ac:dyDescent="0.3">
      <c r="A7485" t="s">
        <v>2096</v>
      </c>
      <c r="B7485" t="s">
        <v>2097</v>
      </c>
      <c r="C7485">
        <v>6</v>
      </c>
      <c r="D7485" t="s">
        <v>1447</v>
      </c>
      <c r="E7485" t="s">
        <v>1988</v>
      </c>
      <c r="F7485" t="s">
        <v>1737</v>
      </c>
      <c r="K7485" t="str">
        <f>IF(ISBLANK('Q 8'!$C162),"",IF('Q 8'!$C162="&lt;please select&gt;","",'Q 8'!$C162))</f>
        <v/>
      </c>
    </row>
    <row r="7486" spans="1:11" x14ac:dyDescent="0.3">
      <c r="A7486" t="s">
        <v>2096</v>
      </c>
      <c r="B7486" t="s">
        <v>2097</v>
      </c>
      <c r="C7486">
        <v>7</v>
      </c>
      <c r="D7486" t="s">
        <v>1447</v>
      </c>
      <c r="E7486" t="s">
        <v>1988</v>
      </c>
      <c r="F7486" t="s">
        <v>1737</v>
      </c>
      <c r="K7486" t="str">
        <f>IF(ISBLANK('Q 8'!$C163),"",IF('Q 8'!$C163="&lt;please select&gt;","",'Q 8'!$C163))</f>
        <v/>
      </c>
    </row>
    <row r="7487" spans="1:11" x14ac:dyDescent="0.3">
      <c r="A7487" t="s">
        <v>2096</v>
      </c>
      <c r="B7487" t="s">
        <v>2097</v>
      </c>
      <c r="C7487">
        <v>8</v>
      </c>
      <c r="D7487" t="s">
        <v>1447</v>
      </c>
      <c r="E7487" t="s">
        <v>1988</v>
      </c>
      <c r="F7487" t="s">
        <v>1737</v>
      </c>
      <c r="K7487" t="str">
        <f>IF(ISBLANK('Q 8'!$C164),"",IF('Q 8'!$C164="&lt;please select&gt;","",'Q 8'!$C164))</f>
        <v/>
      </c>
    </row>
    <row r="7488" spans="1:11" x14ac:dyDescent="0.3">
      <c r="A7488" t="s">
        <v>2096</v>
      </c>
      <c r="B7488" t="s">
        <v>2097</v>
      </c>
      <c r="C7488">
        <v>9</v>
      </c>
      <c r="D7488" t="s">
        <v>1447</v>
      </c>
      <c r="E7488" t="s">
        <v>1988</v>
      </c>
      <c r="F7488" t="s">
        <v>1737</v>
      </c>
      <c r="K7488" t="str">
        <f>IF(ISBLANK('Q 8'!$C165),"",IF('Q 8'!$C165="&lt;please select&gt;","",'Q 8'!$C165))</f>
        <v/>
      </c>
    </row>
    <row r="7489" spans="1:11" x14ac:dyDescent="0.3">
      <c r="A7489" t="s">
        <v>2096</v>
      </c>
      <c r="B7489" t="s">
        <v>2097</v>
      </c>
      <c r="C7489">
        <v>10</v>
      </c>
      <c r="D7489" t="s">
        <v>1447</v>
      </c>
      <c r="E7489" t="s">
        <v>1988</v>
      </c>
      <c r="F7489" t="s">
        <v>1737</v>
      </c>
      <c r="K7489" t="str">
        <f>IF(ISBLANK('Q 8'!$C166),"",IF('Q 8'!$C166="&lt;please select&gt;","",'Q 8'!$C166))</f>
        <v/>
      </c>
    </row>
    <row r="7490" spans="1:11" x14ac:dyDescent="0.3">
      <c r="A7490" t="s">
        <v>2096</v>
      </c>
      <c r="B7490" t="s">
        <v>2097</v>
      </c>
      <c r="C7490">
        <v>11</v>
      </c>
      <c r="D7490" t="s">
        <v>1447</v>
      </c>
      <c r="E7490" t="s">
        <v>1988</v>
      </c>
      <c r="F7490" t="s">
        <v>1737</v>
      </c>
      <c r="K7490" t="str">
        <f>IF(ISBLANK('Q 8'!$C167),"",IF('Q 8'!$C167="&lt;please select&gt;","",'Q 8'!$C167))</f>
        <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Recommendations for improvement</v>
      </c>
    </row>
    <row r="7561" spans="1:11" x14ac:dyDescent="0.3">
      <c r="A7561" t="s">
        <v>2096</v>
      </c>
      <c r="B7561" t="s">
        <v>2097</v>
      </c>
      <c r="C7561">
        <v>2</v>
      </c>
      <c r="D7561" t="s">
        <v>1447</v>
      </c>
      <c r="E7561" t="s">
        <v>1989</v>
      </c>
      <c r="F7561" t="s">
        <v>1737</v>
      </c>
      <c r="K7561" t="str">
        <f>IF(ISBLANK('Q 8'!$E158),"",IF('Q 8'!$E158="&lt;please select&gt;","",'Q 8'!$E158))</f>
        <v>Non-material misstatements</v>
      </c>
    </row>
    <row r="7562" spans="1:11" x14ac:dyDescent="0.3">
      <c r="A7562" t="s">
        <v>2096</v>
      </c>
      <c r="B7562" t="s">
        <v>2097</v>
      </c>
      <c r="C7562">
        <v>3</v>
      </c>
      <c r="D7562" t="s">
        <v>1447</v>
      </c>
      <c r="E7562" t="s">
        <v>1989</v>
      </c>
      <c r="F7562" t="s">
        <v>1737</v>
      </c>
      <c r="K7562" t="str">
        <f>IF(ISBLANK('Q 8'!$E159),"",IF('Q 8'!$E159="&lt;please select&gt;","",'Q 8'!$E159))</f>
        <v>Recommendations for improvement</v>
      </c>
    </row>
    <row r="7563" spans="1:11" x14ac:dyDescent="0.3">
      <c r="A7563" t="s">
        <v>2096</v>
      </c>
      <c r="B7563" t="s">
        <v>2097</v>
      </c>
      <c r="C7563">
        <v>4</v>
      </c>
      <c r="D7563" t="s">
        <v>1447</v>
      </c>
      <c r="E7563" t="s">
        <v>1989</v>
      </c>
      <c r="F7563" t="s">
        <v>1737</v>
      </c>
      <c r="K7563" t="str">
        <f>IF(ISBLANK('Q 8'!$E160),"",IF('Q 8'!$E160="&lt;please select&gt;","",'Q 8'!$E160))</f>
        <v>Recommendations for improvement</v>
      </c>
    </row>
    <row r="7564" spans="1:11" x14ac:dyDescent="0.3">
      <c r="A7564" t="s">
        <v>2096</v>
      </c>
      <c r="B7564" t="s">
        <v>2097</v>
      </c>
      <c r="C7564">
        <v>5</v>
      </c>
      <c r="D7564" t="s">
        <v>1447</v>
      </c>
      <c r="E7564" t="s">
        <v>1989</v>
      </c>
      <c r="F7564" t="s">
        <v>1737</v>
      </c>
      <c r="K7564" t="str">
        <f>IF(ISBLANK('Q 8'!$E161),"",IF('Q 8'!$E161="&lt;please select&gt;","",'Q 8'!$E161))</f>
        <v>Recommendations for improvement</v>
      </c>
    </row>
    <row r="7565" spans="1:11" x14ac:dyDescent="0.3">
      <c r="A7565" t="s">
        <v>2096</v>
      </c>
      <c r="B7565" t="s">
        <v>2097</v>
      </c>
      <c r="C7565">
        <v>6</v>
      </c>
      <c r="D7565" t="s">
        <v>1447</v>
      </c>
      <c r="E7565" t="s">
        <v>1989</v>
      </c>
      <c r="F7565" t="s">
        <v>1737</v>
      </c>
      <c r="K7565" t="str">
        <f>IF(ISBLANK('Q 8'!$E162),"",IF('Q 8'!$E162="&lt;please select&gt;","",'Q 8'!$E162))</f>
        <v/>
      </c>
    </row>
    <row r="7566" spans="1:11" x14ac:dyDescent="0.3">
      <c r="A7566" t="s">
        <v>2096</v>
      </c>
      <c r="B7566" t="s">
        <v>2097</v>
      </c>
      <c r="C7566">
        <v>7</v>
      </c>
      <c r="D7566" t="s">
        <v>1447</v>
      </c>
      <c r="E7566" t="s">
        <v>1989</v>
      </c>
      <c r="F7566" t="s">
        <v>1737</v>
      </c>
      <c r="K7566" t="str">
        <f>IF(ISBLANK('Q 8'!$E163),"",IF('Q 8'!$E163="&lt;please select&gt;","",'Q 8'!$E163))</f>
        <v/>
      </c>
    </row>
    <row r="7567" spans="1:11" x14ac:dyDescent="0.3">
      <c r="A7567" t="s">
        <v>2096</v>
      </c>
      <c r="B7567" t="s">
        <v>2097</v>
      </c>
      <c r="C7567">
        <v>8</v>
      </c>
      <c r="D7567" t="s">
        <v>1447</v>
      </c>
      <c r="E7567" t="s">
        <v>1989</v>
      </c>
      <c r="F7567" t="s">
        <v>1737</v>
      </c>
      <c r="K7567" t="str">
        <f>IF(ISBLANK('Q 8'!$E164),"",IF('Q 8'!$E164="&lt;please select&gt;","",'Q 8'!$E164))</f>
        <v/>
      </c>
    </row>
    <row r="7568" spans="1:11" x14ac:dyDescent="0.3">
      <c r="A7568" t="s">
        <v>2096</v>
      </c>
      <c r="B7568" t="s">
        <v>2097</v>
      </c>
      <c r="C7568">
        <v>9</v>
      </c>
      <c r="D7568" t="s">
        <v>1447</v>
      </c>
      <c r="E7568" t="s">
        <v>1989</v>
      </c>
      <c r="F7568" t="s">
        <v>1737</v>
      </c>
      <c r="K7568" t="str">
        <f>IF(ISBLANK('Q 8'!$E165),"",IF('Q 8'!$E165="&lt;please select&gt;","",'Q 8'!$E165))</f>
        <v/>
      </c>
    </row>
    <row r="7569" spans="1:11" x14ac:dyDescent="0.3">
      <c r="A7569" t="s">
        <v>2096</v>
      </c>
      <c r="B7569" t="s">
        <v>2097</v>
      </c>
      <c r="C7569">
        <v>10</v>
      </c>
      <c r="D7569" t="s">
        <v>1447</v>
      </c>
      <c r="E7569" t="s">
        <v>1989</v>
      </c>
      <c r="F7569" t="s">
        <v>1737</v>
      </c>
      <c r="K7569" t="str">
        <f>IF(ISBLANK('Q 8'!$E166),"",IF('Q 8'!$E166="&lt;please select&gt;","",'Q 8'!$E166))</f>
        <v/>
      </c>
    </row>
    <row r="7570" spans="1:11" x14ac:dyDescent="0.3">
      <c r="A7570" t="s">
        <v>2096</v>
      </c>
      <c r="B7570" t="s">
        <v>2097</v>
      </c>
      <c r="C7570">
        <v>11</v>
      </c>
      <c r="D7570" t="s">
        <v>1447</v>
      </c>
      <c r="E7570" t="s">
        <v>1989</v>
      </c>
      <c r="F7570" t="s">
        <v>1737</v>
      </c>
      <c r="K7570" t="str">
        <f>IF(ISBLANK('Q 8'!$E167),"",IF('Q 8'!$E167="&lt;please select&gt;","",'Q 8'!$E167))</f>
        <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17</v>
      </c>
    </row>
    <row r="7641" spans="1:11" x14ac:dyDescent="0.3">
      <c r="A7641" t="s">
        <v>2096</v>
      </c>
      <c r="B7641" t="s">
        <v>2097</v>
      </c>
      <c r="C7641">
        <v>2</v>
      </c>
      <c r="D7641" t="s">
        <v>1447</v>
      </c>
      <c r="E7641" t="s">
        <v>1798</v>
      </c>
      <c r="F7641" t="s">
        <v>1748</v>
      </c>
      <c r="H7641" s="165" t="str">
        <f>IF(ISBLANK('Q 8'!$F158),"",IF('Q 8'!$F158="&lt;please select&gt;","",'Q 8'!$F158))</f>
        <v>3</v>
      </c>
    </row>
    <row r="7642" spans="1:11" x14ac:dyDescent="0.3">
      <c r="A7642" t="s">
        <v>2096</v>
      </c>
      <c r="B7642" t="s">
        <v>2097</v>
      </c>
      <c r="C7642">
        <v>3</v>
      </c>
      <c r="D7642" t="s">
        <v>1447</v>
      </c>
      <c r="E7642" t="s">
        <v>1798</v>
      </c>
      <c r="F7642" t="s">
        <v>1748</v>
      </c>
      <c r="H7642" s="165" t="str">
        <f>IF(ISBLANK('Q 8'!$F159),"",IF('Q 8'!$F159="&lt;please select&gt;","",'Q 8'!$F159))</f>
        <v>1</v>
      </c>
    </row>
    <row r="7643" spans="1:11" x14ac:dyDescent="0.3">
      <c r="A7643" t="s">
        <v>2096</v>
      </c>
      <c r="B7643" t="s">
        <v>2097</v>
      </c>
      <c r="C7643">
        <v>4</v>
      </c>
      <c r="D7643" t="s">
        <v>1447</v>
      </c>
      <c r="E7643" t="s">
        <v>1798</v>
      </c>
      <c r="F7643" t="s">
        <v>1748</v>
      </c>
      <c r="H7643" s="165" t="str">
        <f>IF(ISBLANK('Q 8'!$F160),"",IF('Q 8'!$F160="&lt;please select&gt;","",'Q 8'!$F160))</f>
        <v>3</v>
      </c>
    </row>
    <row r="7644" spans="1:11" x14ac:dyDescent="0.3">
      <c r="A7644" t="s">
        <v>2096</v>
      </c>
      <c r="B7644" t="s">
        <v>2097</v>
      </c>
      <c r="C7644">
        <v>5</v>
      </c>
      <c r="D7644" t="s">
        <v>1447</v>
      </c>
      <c r="E7644" t="s">
        <v>1798</v>
      </c>
      <c r="F7644" t="s">
        <v>1748</v>
      </c>
      <c r="H7644" s="165" t="str">
        <f>IF(ISBLANK('Q 8'!$F161),"",IF('Q 8'!$F161="&lt;please select&gt;","",'Q 8'!$F161))</f>
        <v>1</v>
      </c>
    </row>
    <row r="7645" spans="1:11" x14ac:dyDescent="0.3">
      <c r="A7645" t="s">
        <v>2096</v>
      </c>
      <c r="B7645" t="s">
        <v>2097</v>
      </c>
      <c r="C7645">
        <v>6</v>
      </c>
      <c r="D7645" t="s">
        <v>1447</v>
      </c>
      <c r="E7645" t="s">
        <v>1798</v>
      </c>
      <c r="F7645" t="s">
        <v>1748</v>
      </c>
      <c r="H7645" s="165" t="str">
        <f>IF(ISBLANK('Q 8'!$F162),"",IF('Q 8'!$F162="&lt;please select&gt;","",'Q 8'!$F162))</f>
        <v/>
      </c>
    </row>
    <row r="7646" spans="1:11" x14ac:dyDescent="0.3">
      <c r="A7646" t="s">
        <v>2096</v>
      </c>
      <c r="B7646" t="s">
        <v>2097</v>
      </c>
      <c r="C7646">
        <v>7</v>
      </c>
      <c r="D7646" t="s">
        <v>1447</v>
      </c>
      <c r="E7646" t="s">
        <v>1798</v>
      </c>
      <c r="F7646" t="s">
        <v>1748</v>
      </c>
      <c r="H7646" s="165" t="str">
        <f>IF(ISBLANK('Q 8'!$F163),"",IF('Q 8'!$F163="&lt;please select&gt;","",'Q 8'!$F163))</f>
        <v/>
      </c>
    </row>
    <row r="7647" spans="1:11" x14ac:dyDescent="0.3">
      <c r="A7647" t="s">
        <v>2096</v>
      </c>
      <c r="B7647" t="s">
        <v>2097</v>
      </c>
      <c r="C7647">
        <v>8</v>
      </c>
      <c r="D7647" t="s">
        <v>1447</v>
      </c>
      <c r="E7647" t="s">
        <v>1798</v>
      </c>
      <c r="F7647" t="s">
        <v>1748</v>
      </c>
      <c r="H7647" s="165" t="str">
        <f>IF(ISBLANK('Q 8'!$F164),"",IF('Q 8'!$F164="&lt;please select&gt;","",'Q 8'!$F164))</f>
        <v/>
      </c>
    </row>
    <row r="7648" spans="1:11" x14ac:dyDescent="0.3">
      <c r="A7648" t="s">
        <v>2096</v>
      </c>
      <c r="B7648" t="s">
        <v>2097</v>
      </c>
      <c r="C7648">
        <v>9</v>
      </c>
      <c r="D7648" t="s">
        <v>1447</v>
      </c>
      <c r="E7648" t="s">
        <v>1798</v>
      </c>
      <c r="F7648" t="s">
        <v>1748</v>
      </c>
      <c r="H7648" s="165" t="str">
        <f>IF(ISBLANK('Q 8'!$F165),"",IF('Q 8'!$F165="&lt;please select&gt;","",'Q 8'!$F165))</f>
        <v/>
      </c>
    </row>
    <row r="7649" spans="1:8" x14ac:dyDescent="0.3">
      <c r="A7649" t="s">
        <v>2096</v>
      </c>
      <c r="B7649" t="s">
        <v>2097</v>
      </c>
      <c r="C7649">
        <v>10</v>
      </c>
      <c r="D7649" t="s">
        <v>1447</v>
      </c>
      <c r="E7649" t="s">
        <v>1798</v>
      </c>
      <c r="F7649" t="s">
        <v>1748</v>
      </c>
      <c r="H7649" s="165" t="str">
        <f>IF(ISBLANK('Q 8'!$F166),"",IF('Q 8'!$F166="&lt;please select&gt;","",'Q 8'!$F166))</f>
        <v/>
      </c>
    </row>
    <row r="7650" spans="1:8" x14ac:dyDescent="0.3">
      <c r="A7650" t="s">
        <v>2096</v>
      </c>
      <c r="B7650" t="s">
        <v>2097</v>
      </c>
      <c r="C7650">
        <v>11</v>
      </c>
      <c r="D7650" t="s">
        <v>1447</v>
      </c>
      <c r="E7650" t="s">
        <v>1798</v>
      </c>
      <c r="F7650" t="s">
        <v>1748</v>
      </c>
      <c r="H7650" s="165" t="str">
        <f>IF(ISBLANK('Q 8'!$F167),"",IF('Q 8'!$F167="&lt;please select&gt;","",'Q 8'!$F167))</f>
        <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1</v>
      </c>
    </row>
    <row r="7721" spans="1:8" x14ac:dyDescent="0.3">
      <c r="A7721" t="s">
        <v>2096</v>
      </c>
      <c r="B7721" t="s">
        <v>2097</v>
      </c>
      <c r="C7721">
        <v>2</v>
      </c>
      <c r="D7721" t="s">
        <v>1447</v>
      </c>
      <c r="E7721" t="s">
        <v>1972</v>
      </c>
      <c r="F7721" t="s">
        <v>1748</v>
      </c>
      <c r="H7721" s="165" t="str">
        <f>IF(ISBLANK('Q 8'!$G158),"",IF('Q 8'!$G158="&lt;please select&gt;","",'Q 8'!$G158))</f>
        <v>1</v>
      </c>
    </row>
    <row r="7722" spans="1:8" x14ac:dyDescent="0.3">
      <c r="A7722" t="s">
        <v>2096</v>
      </c>
      <c r="B7722" t="s">
        <v>2097</v>
      </c>
      <c r="C7722">
        <v>3</v>
      </c>
      <c r="D7722" t="s">
        <v>1447</v>
      </c>
      <c r="E7722" t="s">
        <v>1972</v>
      </c>
      <c r="F7722" t="s">
        <v>1748</v>
      </c>
      <c r="H7722" s="165" t="str">
        <f>IF(ISBLANK('Q 8'!$G159),"",IF('Q 8'!$G159="&lt;please select&gt;","",'Q 8'!$G159))</f>
        <v>1</v>
      </c>
    </row>
    <row r="7723" spans="1:8" x14ac:dyDescent="0.3">
      <c r="A7723" t="s">
        <v>2096</v>
      </c>
      <c r="B7723" t="s">
        <v>2097</v>
      </c>
      <c r="C7723">
        <v>4</v>
      </c>
      <c r="D7723" t="s">
        <v>1447</v>
      </c>
      <c r="E7723" t="s">
        <v>1972</v>
      </c>
      <c r="F7723" t="s">
        <v>1748</v>
      </c>
      <c r="H7723" s="165" t="str">
        <f>IF(ISBLANK('Q 8'!$G160),"",IF('Q 8'!$G160="&lt;please select&gt;","",'Q 8'!$G160))</f>
        <v>1</v>
      </c>
    </row>
    <row r="7724" spans="1:8" x14ac:dyDescent="0.3">
      <c r="A7724" t="s">
        <v>2096</v>
      </c>
      <c r="B7724" t="s">
        <v>2097</v>
      </c>
      <c r="C7724">
        <v>5</v>
      </c>
      <c r="D7724" t="s">
        <v>1447</v>
      </c>
      <c r="E7724" t="s">
        <v>1972</v>
      </c>
      <c r="F7724" t="s">
        <v>1748</v>
      </c>
      <c r="H7724" s="165" t="str">
        <f>IF(ISBLANK('Q 8'!$G161),"",IF('Q 8'!$G161="&lt;please select&gt;","",'Q 8'!$G161))</f>
        <v>1</v>
      </c>
    </row>
    <row r="7725" spans="1:8" x14ac:dyDescent="0.3">
      <c r="A7725" t="s">
        <v>2096</v>
      </c>
      <c r="B7725" t="s">
        <v>2097</v>
      </c>
      <c r="C7725">
        <v>6</v>
      </c>
      <c r="D7725" t="s">
        <v>1447</v>
      </c>
      <c r="E7725" t="s">
        <v>1972</v>
      </c>
      <c r="F7725" t="s">
        <v>1748</v>
      </c>
      <c r="H7725" s="165" t="str">
        <f>IF(ISBLANK('Q 8'!$G162),"",IF('Q 8'!$G162="&lt;please select&gt;","",'Q 8'!$G162))</f>
        <v/>
      </c>
    </row>
    <row r="7726" spans="1:8" x14ac:dyDescent="0.3">
      <c r="A7726" t="s">
        <v>2096</v>
      </c>
      <c r="B7726" t="s">
        <v>2097</v>
      </c>
      <c r="C7726">
        <v>7</v>
      </c>
      <c r="D7726" t="s">
        <v>1447</v>
      </c>
      <c r="E7726" t="s">
        <v>1972</v>
      </c>
      <c r="F7726" t="s">
        <v>1748</v>
      </c>
      <c r="H7726" s="165" t="str">
        <f>IF(ISBLANK('Q 8'!$G163),"",IF('Q 8'!$G163="&lt;please select&gt;","",'Q 8'!$G163))</f>
        <v/>
      </c>
    </row>
    <row r="7727" spans="1:8" x14ac:dyDescent="0.3">
      <c r="A7727" t="s">
        <v>2096</v>
      </c>
      <c r="B7727" t="s">
        <v>2097</v>
      </c>
      <c r="C7727">
        <v>8</v>
      </c>
      <c r="D7727" t="s">
        <v>1447</v>
      </c>
      <c r="E7727" t="s">
        <v>1972</v>
      </c>
      <c r="F7727" t="s">
        <v>1748</v>
      </c>
      <c r="H7727" s="165" t="str">
        <f>IF(ISBLANK('Q 8'!$G164),"",IF('Q 8'!$G164="&lt;please select&gt;","",'Q 8'!$G164))</f>
        <v/>
      </c>
    </row>
    <row r="7728" spans="1:8" x14ac:dyDescent="0.3">
      <c r="A7728" t="s">
        <v>2096</v>
      </c>
      <c r="B7728" t="s">
        <v>2097</v>
      </c>
      <c r="C7728">
        <v>9</v>
      </c>
      <c r="D7728" t="s">
        <v>1447</v>
      </c>
      <c r="E7728" t="s">
        <v>1972</v>
      </c>
      <c r="F7728" t="s">
        <v>1748</v>
      </c>
      <c r="H7728" s="165" t="str">
        <f>IF(ISBLANK('Q 8'!$G165),"",IF('Q 8'!$G165="&lt;please select&gt;","",'Q 8'!$G165))</f>
        <v/>
      </c>
    </row>
    <row r="7729" spans="1:8" x14ac:dyDescent="0.3">
      <c r="A7729" t="s">
        <v>2096</v>
      </c>
      <c r="B7729" t="s">
        <v>2097</v>
      </c>
      <c r="C7729">
        <v>10</v>
      </c>
      <c r="D7729" t="s">
        <v>1447</v>
      </c>
      <c r="E7729" t="s">
        <v>1972</v>
      </c>
      <c r="F7729" t="s">
        <v>1748</v>
      </c>
      <c r="H7729" s="165" t="str">
        <f>IF(ISBLANK('Q 8'!$G166),"",IF('Q 8'!$G166="&lt;please select&gt;","",'Q 8'!$G166))</f>
        <v/>
      </c>
    </row>
    <row r="7730" spans="1:8" x14ac:dyDescent="0.3">
      <c r="A7730" t="s">
        <v>2096</v>
      </c>
      <c r="B7730" t="s">
        <v>2097</v>
      </c>
      <c r="C7730">
        <v>11</v>
      </c>
      <c r="D7730" t="s">
        <v>1447</v>
      </c>
      <c r="E7730" t="s">
        <v>1972</v>
      </c>
      <c r="F7730" t="s">
        <v>1748</v>
      </c>
      <c r="H7730" s="165" t="str">
        <f>IF(ISBLANK('Q 8'!$G167),"",IF('Q 8'!$G167="&lt;please select&gt;","",'Q 8'!$G167))</f>
        <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0</v>
      </c>
    </row>
    <row r="7801" spans="1:8" x14ac:dyDescent="0.3">
      <c r="A7801" t="s">
        <v>2096</v>
      </c>
      <c r="B7801" t="s">
        <v>2097</v>
      </c>
      <c r="C7801">
        <v>2</v>
      </c>
      <c r="D7801" t="s">
        <v>1447</v>
      </c>
      <c r="E7801" t="s">
        <v>2094</v>
      </c>
      <c r="F7801" t="s">
        <v>1748</v>
      </c>
      <c r="H7801" s="165" t="str">
        <f>IF(ISBLANK('Q 8'!$H158),"",IF('Q 8'!$H158="&lt;please select&gt;","",'Q 8'!$H158))</f>
        <v>0</v>
      </c>
    </row>
    <row r="7802" spans="1:8" x14ac:dyDescent="0.3">
      <c r="A7802" t="s">
        <v>2096</v>
      </c>
      <c r="B7802" t="s">
        <v>2097</v>
      </c>
      <c r="C7802">
        <v>3</v>
      </c>
      <c r="D7802" t="s">
        <v>1447</v>
      </c>
      <c r="E7802" t="s">
        <v>2094</v>
      </c>
      <c r="F7802" t="s">
        <v>1748</v>
      </c>
      <c r="H7802" s="165" t="str">
        <f>IF(ISBLANK('Q 8'!$H159),"",IF('Q 8'!$H159="&lt;please select&gt;","",'Q 8'!$H159))</f>
        <v>0</v>
      </c>
    </row>
    <row r="7803" spans="1:8" x14ac:dyDescent="0.3">
      <c r="A7803" t="s">
        <v>2096</v>
      </c>
      <c r="B7803" t="s">
        <v>2097</v>
      </c>
      <c r="C7803">
        <v>4</v>
      </c>
      <c r="D7803" t="s">
        <v>1447</v>
      </c>
      <c r="E7803" t="s">
        <v>2094</v>
      </c>
      <c r="F7803" t="s">
        <v>1748</v>
      </c>
      <c r="H7803" s="165" t="str">
        <f>IF(ISBLANK('Q 8'!$H160),"",IF('Q 8'!$H160="&lt;please select&gt;","",'Q 8'!$H160))</f>
        <v>0</v>
      </c>
    </row>
    <row r="7804" spans="1:8" x14ac:dyDescent="0.3">
      <c r="A7804" t="s">
        <v>2096</v>
      </c>
      <c r="B7804" t="s">
        <v>2097</v>
      </c>
      <c r="C7804">
        <v>5</v>
      </c>
      <c r="D7804" t="s">
        <v>1447</v>
      </c>
      <c r="E7804" t="s">
        <v>2094</v>
      </c>
      <c r="F7804" t="s">
        <v>1748</v>
      </c>
      <c r="H7804" s="165" t="str">
        <f>IF(ISBLANK('Q 8'!$H161),"",IF('Q 8'!$H161="&lt;please select&gt;","",'Q 8'!$H161))</f>
        <v>1</v>
      </c>
    </row>
    <row r="7805" spans="1:8" x14ac:dyDescent="0.3">
      <c r="A7805" t="s">
        <v>2096</v>
      </c>
      <c r="B7805" t="s">
        <v>2097</v>
      </c>
      <c r="C7805">
        <v>6</v>
      </c>
      <c r="D7805" t="s">
        <v>1447</v>
      </c>
      <c r="E7805" t="s">
        <v>2094</v>
      </c>
      <c r="F7805" t="s">
        <v>1748</v>
      </c>
      <c r="H7805" s="165" t="str">
        <f>IF(ISBLANK('Q 8'!$H162),"",IF('Q 8'!$H162="&lt;please select&gt;","",'Q 8'!$H162))</f>
        <v/>
      </c>
    </row>
    <row r="7806" spans="1:8" x14ac:dyDescent="0.3">
      <c r="A7806" t="s">
        <v>2096</v>
      </c>
      <c r="B7806" t="s">
        <v>2097</v>
      </c>
      <c r="C7806">
        <v>7</v>
      </c>
      <c r="D7806" t="s">
        <v>1447</v>
      </c>
      <c r="E7806" t="s">
        <v>2094</v>
      </c>
      <c r="F7806" t="s">
        <v>1748</v>
      </c>
      <c r="H7806" s="165" t="str">
        <f>IF(ISBLANK('Q 8'!$H163),"",IF('Q 8'!$H163="&lt;please select&gt;","",'Q 8'!$H163))</f>
        <v/>
      </c>
    </row>
    <row r="7807" spans="1:8" x14ac:dyDescent="0.3">
      <c r="A7807" t="s">
        <v>2096</v>
      </c>
      <c r="B7807" t="s">
        <v>2097</v>
      </c>
      <c r="C7807">
        <v>8</v>
      </c>
      <c r="D7807" t="s">
        <v>1447</v>
      </c>
      <c r="E7807" t="s">
        <v>2094</v>
      </c>
      <c r="F7807" t="s">
        <v>1748</v>
      </c>
      <c r="H7807" s="165" t="str">
        <f>IF(ISBLANK('Q 8'!$H164),"",IF('Q 8'!$H164="&lt;please select&gt;","",'Q 8'!$H164))</f>
        <v/>
      </c>
    </row>
    <row r="7808" spans="1:8" x14ac:dyDescent="0.3">
      <c r="A7808" t="s">
        <v>2096</v>
      </c>
      <c r="B7808" t="s">
        <v>2097</v>
      </c>
      <c r="C7808">
        <v>9</v>
      </c>
      <c r="D7808" t="s">
        <v>1447</v>
      </c>
      <c r="E7808" t="s">
        <v>2094</v>
      </c>
      <c r="F7808" t="s">
        <v>1748</v>
      </c>
      <c r="H7808" s="165" t="str">
        <f>IF(ISBLANK('Q 8'!$H165),"",IF('Q 8'!$H165="&lt;please select&gt;","",'Q 8'!$H165))</f>
        <v/>
      </c>
    </row>
    <row r="7809" spans="1:8" x14ac:dyDescent="0.3">
      <c r="A7809" t="s">
        <v>2096</v>
      </c>
      <c r="B7809" t="s">
        <v>2097</v>
      </c>
      <c r="C7809">
        <v>10</v>
      </c>
      <c r="D7809" t="s">
        <v>1447</v>
      </c>
      <c r="E7809" t="s">
        <v>2094</v>
      </c>
      <c r="F7809" t="s">
        <v>1748</v>
      </c>
      <c r="H7809" s="165" t="str">
        <f>IF(ISBLANK('Q 8'!$H166),"",IF('Q 8'!$H166="&lt;please select&gt;","",'Q 8'!$H166))</f>
        <v/>
      </c>
    </row>
    <row r="7810" spans="1:8" x14ac:dyDescent="0.3">
      <c r="A7810" t="s">
        <v>2096</v>
      </c>
      <c r="B7810" t="s">
        <v>2097</v>
      </c>
      <c r="C7810">
        <v>11</v>
      </c>
      <c r="D7810" t="s">
        <v>1447</v>
      </c>
      <c r="E7810" t="s">
        <v>2094</v>
      </c>
      <c r="F7810" t="s">
        <v>1748</v>
      </c>
      <c r="H7810" s="165" t="str">
        <f>IF(ISBLANK('Q 8'!$H167),"",IF('Q 8'!$H167="&lt;please select&gt;","",'Q 8'!$H167))</f>
        <v/>
      </c>
    </row>
    <row r="7811" spans="1:8" x14ac:dyDescent="0.3">
      <c r="A7811" t="s">
        <v>2096</v>
      </c>
      <c r="B7811" t="s">
        <v>2097</v>
      </c>
      <c r="C7811">
        <v>12</v>
      </c>
      <c r="D7811" t="s">
        <v>1447</v>
      </c>
      <c r="E7811" t="s">
        <v>2094</v>
      </c>
      <c r="F7811" t="s">
        <v>1748</v>
      </c>
      <c r="H7811" s="165" t="str">
        <f>IF(ISBLANK('Q 8'!$H168),"",IF('Q 8'!$H168="&lt;please select&gt;","",'Q 8'!$H168))</f>
        <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No</v>
      </c>
    </row>
    <row r="7881" spans="1:11" x14ac:dyDescent="0.3">
      <c r="A7881" t="s">
        <v>2098</v>
      </c>
      <c r="B7881" t="s">
        <v>2100</v>
      </c>
      <c r="C7881">
        <v>1</v>
      </c>
      <c r="D7881" t="s">
        <v>1447</v>
      </c>
      <c r="E7881" t="s">
        <v>2101</v>
      </c>
      <c r="F7881" t="s">
        <v>1748</v>
      </c>
      <c r="H7881" s="165" t="str">
        <f>IF(ISBLANK('Q 8'!$F243),"",IF('Q 8'!$F243="&lt;please select&gt;","",'Q 8'!$F243))</f>
        <v/>
      </c>
    </row>
    <row r="7882" spans="1:11" x14ac:dyDescent="0.3">
      <c r="A7882" t="s">
        <v>2098</v>
      </c>
      <c r="B7882" t="s">
        <v>2100</v>
      </c>
      <c r="C7882">
        <v>2</v>
      </c>
      <c r="D7882" t="s">
        <v>1447</v>
      </c>
      <c r="E7882" t="s">
        <v>2101</v>
      </c>
      <c r="F7882" t="s">
        <v>1748</v>
      </c>
      <c r="H7882" s="165" t="str">
        <f>IF(ISBLANK('Q 8'!$F244),"",IF('Q 8'!$F244="&lt;please select&gt;","",'Q 8'!$F244))</f>
        <v/>
      </c>
    </row>
    <row r="7883" spans="1:11" x14ac:dyDescent="0.3">
      <c r="A7883" t="s">
        <v>2098</v>
      </c>
      <c r="B7883" t="s">
        <v>2100</v>
      </c>
      <c r="C7883">
        <v>2</v>
      </c>
      <c r="D7883" t="s">
        <v>1447</v>
      </c>
      <c r="E7883" t="s">
        <v>2102</v>
      </c>
      <c r="F7883" t="s">
        <v>1791</v>
      </c>
      <c r="J7883" s="165" t="str">
        <f>IF(ISBLANK('Q 8'!$H$244),"",IF('Q 8'!$H$244="&lt;please select&gt;","",'Q 8'!$H$244))</f>
        <v/>
      </c>
    </row>
    <row r="7884" spans="1:11" x14ac:dyDescent="0.3">
      <c r="A7884" t="s">
        <v>2098</v>
      </c>
      <c r="B7884" t="s">
        <v>2100</v>
      </c>
      <c r="C7884">
        <v>3</v>
      </c>
      <c r="D7884" t="s">
        <v>1447</v>
      </c>
      <c r="E7884" t="s">
        <v>2000</v>
      </c>
      <c r="F7884" t="s">
        <v>1741</v>
      </c>
      <c r="G7884" t="str">
        <f>IF(ISBLANK('Q 8'!$F$245),"",IF('Q 8'!$F$245="&lt;please select&gt;","",'Q 8'!$F$245))</f>
        <v/>
      </c>
    </row>
    <row r="7885" spans="1:11" x14ac:dyDescent="0.3">
      <c r="A7885" t="s">
        <v>2098</v>
      </c>
      <c r="B7885" t="s">
        <v>2100</v>
      </c>
      <c r="C7885">
        <v>4</v>
      </c>
      <c r="D7885" t="s">
        <v>1419</v>
      </c>
      <c r="E7885" t="s">
        <v>2000</v>
      </c>
      <c r="F7885" t="s">
        <v>1791</v>
      </c>
      <c r="J7885" t="str">
        <f>IF(ISBLANK('Q 8'!$F$246),"",IF('Q 8'!$F$246="&lt;please select&gt;","",'Q 8'!$F$246))</f>
        <v/>
      </c>
    </row>
    <row r="7886" spans="1:11" x14ac:dyDescent="0.3">
      <c r="A7886" t="s">
        <v>2103</v>
      </c>
      <c r="B7886" t="s">
        <v>2104</v>
      </c>
      <c r="C7886">
        <v>0</v>
      </c>
      <c r="D7886" t="s">
        <v>1447</v>
      </c>
      <c r="E7886" t="s">
        <v>2104</v>
      </c>
      <c r="F7886" t="s">
        <v>1759</v>
      </c>
      <c r="K7886" t="str">
        <f>IF(ISBLANK('Q 8'!$I$248),"",IF('Q 8'!$I$248="&lt;please select&gt;","",'Q 8'!$I$248))</f>
        <v>No</v>
      </c>
    </row>
    <row r="7887" spans="1:11" x14ac:dyDescent="0.3">
      <c r="A7887" t="s">
        <v>2103</v>
      </c>
      <c r="B7887" t="s">
        <v>2105</v>
      </c>
      <c r="C7887">
        <v>1</v>
      </c>
      <c r="D7887" t="s">
        <v>1447</v>
      </c>
      <c r="E7887" t="s">
        <v>1798</v>
      </c>
      <c r="F7887" t="s">
        <v>1748</v>
      </c>
      <c r="H7887" s="165" t="str">
        <f>IF(ISBLANK('Q 8'!$G251),"",IF('Q 8'!$G251="&lt;please select&gt;","",'Q 8'!$G251))</f>
        <v/>
      </c>
    </row>
    <row r="7888" spans="1:11" x14ac:dyDescent="0.3">
      <c r="A7888" t="s">
        <v>2103</v>
      </c>
      <c r="B7888" t="s">
        <v>2105</v>
      </c>
      <c r="C7888">
        <v>2</v>
      </c>
      <c r="D7888" t="s">
        <v>1447</v>
      </c>
      <c r="E7888" t="s">
        <v>1798</v>
      </c>
      <c r="F7888" t="s">
        <v>1748</v>
      </c>
      <c r="H7888" s="165" t="str">
        <f>IF(ISBLANK('Q 8'!$G252),"",IF('Q 8'!$G252="&lt;please select&gt;","",'Q 8'!$G252))</f>
        <v/>
      </c>
    </row>
    <row r="7889" spans="1:11" x14ac:dyDescent="0.3">
      <c r="A7889" t="s">
        <v>2103</v>
      </c>
      <c r="B7889" t="s">
        <v>2105</v>
      </c>
      <c r="C7889">
        <v>3</v>
      </c>
      <c r="D7889" t="s">
        <v>1447</v>
      </c>
      <c r="E7889" t="s">
        <v>1798</v>
      </c>
      <c r="F7889" t="s">
        <v>1748</v>
      </c>
      <c r="H7889" s="165" t="str">
        <f>IF(ISBLANK('Q 8'!$G253),"",IF('Q 8'!$G253="&lt;please select&gt;","",'Q 8'!$G253))</f>
        <v/>
      </c>
    </row>
    <row r="7890" spans="1:11" x14ac:dyDescent="0.3">
      <c r="A7890" t="s">
        <v>2103</v>
      </c>
      <c r="B7890" t="s">
        <v>2105</v>
      </c>
      <c r="C7890">
        <v>4</v>
      </c>
      <c r="D7890" t="s">
        <v>1447</v>
      </c>
      <c r="E7890" t="s">
        <v>1798</v>
      </c>
      <c r="F7890" t="s">
        <v>1748</v>
      </c>
      <c r="H7890" s="165" t="str">
        <f>IF(ISBLANK('Q 8'!$G254),"",IF('Q 8'!$G254="&lt;please select&gt;","",'Q 8'!$G254))</f>
        <v/>
      </c>
    </row>
    <row r="7891" spans="1:11" x14ac:dyDescent="0.3">
      <c r="A7891" t="s">
        <v>2103</v>
      </c>
      <c r="B7891" t="s">
        <v>2105</v>
      </c>
      <c r="C7891">
        <v>5</v>
      </c>
      <c r="D7891" t="s">
        <v>1447</v>
      </c>
      <c r="E7891" t="s">
        <v>1798</v>
      </c>
      <c r="F7891" t="s">
        <v>1748</v>
      </c>
      <c r="H7891" s="165" t="str">
        <f>IF(ISBLANK('Q 8'!$G255),"",IF('Q 8'!$G255="&lt;please select&gt;","",'Q 8'!$G255))</f>
        <v/>
      </c>
    </row>
    <row r="7892" spans="1:11" x14ac:dyDescent="0.3">
      <c r="A7892" t="s">
        <v>2106</v>
      </c>
      <c r="B7892" t="s">
        <v>2107</v>
      </c>
      <c r="C7892">
        <v>0</v>
      </c>
      <c r="D7892" t="s">
        <v>1447</v>
      </c>
      <c r="E7892" t="s">
        <v>2107</v>
      </c>
      <c r="F7892" t="s">
        <v>1759</v>
      </c>
      <c r="K7892" t="str">
        <f>IF(ISBLANK('Q 8'!$I$258),"",IF('Q 8'!$I$258="&lt;please select&gt;","",'Q 8'!$I$258))</f>
        <v>No</v>
      </c>
    </row>
    <row r="7893" spans="1:11" x14ac:dyDescent="0.3">
      <c r="A7893" t="s">
        <v>2106</v>
      </c>
      <c r="B7893" t="s">
        <v>2108</v>
      </c>
      <c r="C7893">
        <v>1</v>
      </c>
      <c r="D7893" t="s">
        <v>1447</v>
      </c>
      <c r="E7893" t="s">
        <v>2010</v>
      </c>
      <c r="F7893" t="s">
        <v>1741</v>
      </c>
      <c r="G7893" t="str">
        <f>IF(ISBLANK('Q 8'!$C264),"",IF('Q 8'!$C264="&lt;please select&gt;","",'Q 8'!$C264))</f>
        <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0</v>
      </c>
    </row>
    <row r="7942" spans="1:9" x14ac:dyDescent="0.3">
      <c r="A7942" t="s">
        <v>2109</v>
      </c>
      <c r="B7942" t="s">
        <v>2110</v>
      </c>
      <c r="C7942">
        <v>2</v>
      </c>
      <c r="D7942" t="s">
        <v>1447</v>
      </c>
      <c r="E7942" t="s">
        <v>2111</v>
      </c>
      <c r="F7942" t="s">
        <v>1806</v>
      </c>
      <c r="I7942" s="165" t="str">
        <f>IF(ISBLANK('Q 8'!E284),"",IF('Q 8'!E284="&lt;please select&gt;","",'Q 8'!E284))</f>
        <v>0</v>
      </c>
    </row>
    <row r="7943" spans="1:9" x14ac:dyDescent="0.3">
      <c r="A7943" t="s">
        <v>2109</v>
      </c>
      <c r="B7943" t="s">
        <v>2110</v>
      </c>
      <c r="C7943">
        <v>3</v>
      </c>
      <c r="D7943" t="s">
        <v>1447</v>
      </c>
      <c r="E7943" t="s">
        <v>2111</v>
      </c>
      <c r="F7943" t="s">
        <v>1806</v>
      </c>
      <c r="I7943" s="165" t="str">
        <f>IF(ISBLANK('Q 8'!E285),"",IF('Q 8'!E285="&lt;please select&gt;","",'Q 8'!E285))</f>
        <v>0</v>
      </c>
    </row>
    <row r="7944" spans="1:9" x14ac:dyDescent="0.3">
      <c r="A7944" t="s">
        <v>2109</v>
      </c>
      <c r="B7944" t="s">
        <v>2110</v>
      </c>
      <c r="C7944">
        <v>4</v>
      </c>
      <c r="D7944" t="s">
        <v>1447</v>
      </c>
      <c r="E7944" t="s">
        <v>2111</v>
      </c>
      <c r="F7944" t="s">
        <v>1806</v>
      </c>
      <c r="I7944" s="165" t="str">
        <f>IF(ISBLANK('Q 8'!E286),"",IF('Q 8'!E286="&lt;please select&gt;","",'Q 8'!E286))</f>
        <v>0</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0</v>
      </c>
    </row>
    <row r="7950" spans="1:9" x14ac:dyDescent="0.3">
      <c r="A7950" t="s">
        <v>2109</v>
      </c>
      <c r="B7950" t="s">
        <v>2110</v>
      </c>
      <c r="C7950">
        <v>2</v>
      </c>
      <c r="D7950" t="s">
        <v>1447</v>
      </c>
      <c r="E7950" t="s">
        <v>2112</v>
      </c>
      <c r="F7950" t="s">
        <v>1806</v>
      </c>
      <c r="I7950" s="165" t="str">
        <f>IF(ISBLANK('Q 8'!$F284),"",IF('Q 8'!$F284="&lt;please select&gt;","",'Q 8'!$F284))</f>
        <v>800000</v>
      </c>
    </row>
    <row r="7951" spans="1:9" x14ac:dyDescent="0.3">
      <c r="A7951" t="s">
        <v>2109</v>
      </c>
      <c r="B7951" t="s">
        <v>2110</v>
      </c>
      <c r="C7951">
        <v>3</v>
      </c>
      <c r="D7951" t="s">
        <v>1447</v>
      </c>
      <c r="E7951" t="s">
        <v>2112</v>
      </c>
      <c r="F7951" t="s">
        <v>1806</v>
      </c>
      <c r="I7951" s="165" t="str">
        <f>IF(ISBLANK('Q 8'!$F285),"",IF('Q 8'!$F285="&lt;please select&gt;","",'Q 8'!$F285))</f>
        <v>0</v>
      </c>
    </row>
    <row r="7952" spans="1:9" x14ac:dyDescent="0.3">
      <c r="A7952" t="s">
        <v>2109</v>
      </c>
      <c r="B7952" t="s">
        <v>2110</v>
      </c>
      <c r="C7952">
        <v>4</v>
      </c>
      <c r="D7952" t="s">
        <v>1447</v>
      </c>
      <c r="E7952" t="s">
        <v>2112</v>
      </c>
      <c r="F7952" t="s">
        <v>1806</v>
      </c>
      <c r="I7952" s="165" t="str">
        <f>IF(ISBLANK('Q 8'!$F286),"",IF('Q 8'!$F286="&lt;please select&gt;","",'Q 8'!$F286))</f>
        <v>800000</v>
      </c>
    </row>
    <row r="7953" spans="1:9" x14ac:dyDescent="0.3">
      <c r="A7953" t="s">
        <v>2109</v>
      </c>
      <c r="B7953" t="s">
        <v>2110</v>
      </c>
      <c r="C7953">
        <v>5</v>
      </c>
      <c r="D7953" t="s">
        <v>1419</v>
      </c>
      <c r="E7953" t="s">
        <v>2112</v>
      </c>
      <c r="F7953" t="s">
        <v>1806</v>
      </c>
      <c r="I7953" s="165" t="str">
        <f>IF(ISBLANK('Q 8'!$F287),"",IF('Q 8'!$F287="&lt;please select&gt;","",'Q 8'!$F287))</f>
        <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0</v>
      </c>
    </row>
    <row r="7958" spans="1:9" x14ac:dyDescent="0.3">
      <c r="A7958" t="s">
        <v>2109</v>
      </c>
      <c r="B7958" t="s">
        <v>2110</v>
      </c>
      <c r="C7958">
        <v>2</v>
      </c>
      <c r="D7958" t="s">
        <v>1447</v>
      </c>
      <c r="E7958" t="s">
        <v>2113</v>
      </c>
      <c r="F7958" t="s">
        <v>1806</v>
      </c>
      <c r="I7958" s="165" t="str">
        <f>IF(ISBLANK('Q 8'!G284),"",IF('Q 8'!G284="&lt;please select&gt;","",'Q 8'!G284))</f>
        <v>0</v>
      </c>
    </row>
    <row r="7959" spans="1:9" x14ac:dyDescent="0.3">
      <c r="A7959" t="s">
        <v>2109</v>
      </c>
      <c r="B7959" t="s">
        <v>2110</v>
      </c>
      <c r="C7959">
        <v>3</v>
      </c>
      <c r="D7959" t="s">
        <v>1447</v>
      </c>
      <c r="E7959" t="s">
        <v>2113</v>
      </c>
      <c r="F7959" t="s">
        <v>1806</v>
      </c>
      <c r="I7959" s="165" t="str">
        <f>IF(ISBLANK('Q 8'!G285),"",IF('Q 8'!G285="&lt;please select&gt;","",'Q 8'!G285))</f>
        <v>0</v>
      </c>
    </row>
    <row r="7960" spans="1:9" x14ac:dyDescent="0.3">
      <c r="A7960" t="s">
        <v>2109</v>
      </c>
      <c r="B7960" t="s">
        <v>2110</v>
      </c>
      <c r="C7960">
        <v>4</v>
      </c>
      <c r="D7960" t="s">
        <v>1447</v>
      </c>
      <c r="E7960" t="s">
        <v>2113</v>
      </c>
      <c r="F7960" t="s">
        <v>1806</v>
      </c>
      <c r="I7960" s="165" t="str">
        <f>IF(ISBLANK('Q 8'!G286),"",IF('Q 8'!G286="&lt;please select&gt;","",'Q 8'!G286))</f>
        <v>0</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0</v>
      </c>
    </row>
    <row r="7966" spans="1:9" x14ac:dyDescent="0.3">
      <c r="A7966" t="s">
        <v>2109</v>
      </c>
      <c r="B7966" t="s">
        <v>2110</v>
      </c>
      <c r="C7966">
        <v>2</v>
      </c>
      <c r="D7966" t="s">
        <v>1447</v>
      </c>
      <c r="E7966" t="s">
        <v>2114</v>
      </c>
      <c r="F7966" t="s">
        <v>1806</v>
      </c>
      <c r="I7966" s="165" t="str">
        <f>IF(ISBLANK('Q 8'!H284),"",IF('Q 8'!H284="&lt;please select&gt;","",'Q 8'!H284))</f>
        <v>0</v>
      </c>
    </row>
    <row r="7967" spans="1:9" x14ac:dyDescent="0.3">
      <c r="A7967" t="s">
        <v>2109</v>
      </c>
      <c r="B7967" t="s">
        <v>2110</v>
      </c>
      <c r="C7967">
        <v>3</v>
      </c>
      <c r="D7967" t="s">
        <v>1447</v>
      </c>
      <c r="E7967" t="s">
        <v>2114</v>
      </c>
      <c r="F7967" t="s">
        <v>1806</v>
      </c>
      <c r="I7967" s="165" t="str">
        <f>IF(ISBLANK('Q 8'!H285),"",IF('Q 8'!H285="&lt;please select&gt;","",'Q 8'!H285))</f>
        <v>0</v>
      </c>
    </row>
    <row r="7968" spans="1:9" x14ac:dyDescent="0.3">
      <c r="A7968" t="s">
        <v>2109</v>
      </c>
      <c r="B7968" t="s">
        <v>2110</v>
      </c>
      <c r="C7968">
        <v>4</v>
      </c>
      <c r="D7968" t="s">
        <v>1447</v>
      </c>
      <c r="E7968" t="s">
        <v>2114</v>
      </c>
      <c r="F7968" t="s">
        <v>1806</v>
      </c>
      <c r="I7968" s="165" t="str">
        <f>IF(ISBLANK('Q 8'!H286),"",IF('Q 8'!H286="&lt;please select&gt;","",'Q 8'!H286))</f>
        <v>0</v>
      </c>
    </row>
    <row r="7969" spans="1:10" x14ac:dyDescent="0.3">
      <c r="A7969" t="s">
        <v>2109</v>
      </c>
      <c r="B7969" t="s">
        <v>2110</v>
      </c>
      <c r="C7969">
        <v>5</v>
      </c>
      <c r="D7969" t="s">
        <v>1419</v>
      </c>
      <c r="E7969" t="s">
        <v>2114</v>
      </c>
      <c r="F7969" t="s">
        <v>1806</v>
      </c>
      <c r="I7969" s="165" t="str">
        <f>IF(ISBLANK('Q 8'!H287),"",IF('Q 8'!H287="&lt;please select&gt;","",'Q 8'!H287))</f>
        <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
      </c>
    </row>
    <row r="7974" spans="1:10" x14ac:dyDescent="0.3">
      <c r="A7974" t="s">
        <v>2109</v>
      </c>
      <c r="B7974" t="s">
        <v>2110</v>
      </c>
      <c r="C7974">
        <v>2</v>
      </c>
      <c r="D7974" t="s">
        <v>1447</v>
      </c>
      <c r="E7974" t="s">
        <v>2115</v>
      </c>
      <c r="F7974" t="s">
        <v>1741</v>
      </c>
      <c r="G7974" t="str">
        <f>IF(ISBLANK('Q 8'!$I284),"",IF('Q 8'!$I284="&lt;please select&gt;","",'Q 8'!$I284))</f>
        <v/>
      </c>
    </row>
    <row r="7975" spans="1:10" x14ac:dyDescent="0.3">
      <c r="A7975" t="s">
        <v>2109</v>
      </c>
      <c r="B7975" t="s">
        <v>2110</v>
      </c>
      <c r="C7975">
        <v>3</v>
      </c>
      <c r="D7975" t="s">
        <v>1447</v>
      </c>
      <c r="E7975" t="s">
        <v>2115</v>
      </c>
      <c r="F7975" t="s">
        <v>1741</v>
      </c>
      <c r="G7975" t="str">
        <f>IF(ISBLANK('Q 8'!$I285),"",IF('Q 8'!$I285="&lt;please select&gt;","",'Q 8'!$I285))</f>
        <v/>
      </c>
    </row>
    <row r="7976" spans="1:10" x14ac:dyDescent="0.3">
      <c r="A7976" t="s">
        <v>2109</v>
      </c>
      <c r="B7976" t="s">
        <v>2110</v>
      </c>
      <c r="C7976">
        <v>4</v>
      </c>
      <c r="D7976" t="s">
        <v>1447</v>
      </c>
      <c r="E7976" t="s">
        <v>2115</v>
      </c>
      <c r="F7976" t="s">
        <v>1741</v>
      </c>
      <c r="G7976" t="str">
        <f>IF(ISBLANK('Q 8'!$I286),"",IF('Q 8'!$I286="&lt;please select&gt;","",'Q 8'!$I286))</f>
        <v/>
      </c>
    </row>
    <row r="7977" spans="1:10" x14ac:dyDescent="0.3">
      <c r="A7977" t="s">
        <v>2109</v>
      </c>
      <c r="B7977" t="s">
        <v>2110</v>
      </c>
      <c r="C7977">
        <v>5</v>
      </c>
      <c r="D7977" t="s">
        <v>1419</v>
      </c>
      <c r="E7977" t="s">
        <v>2115</v>
      </c>
      <c r="F7977" t="s">
        <v>1741</v>
      </c>
      <c r="G7977" t="str">
        <f>IF(ISBLANK('Q 8'!$I287),"",IF('Q 8'!$I287="&lt;please select&gt;","",'Q 8'!$I287))</f>
        <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
      </c>
    </row>
    <row r="7982" spans="1:10" x14ac:dyDescent="0.3">
      <c r="A7982" t="s">
        <v>2109</v>
      </c>
      <c r="B7982" t="s">
        <v>2110</v>
      </c>
      <c r="C7982">
        <v>6</v>
      </c>
      <c r="D7982" t="s">
        <v>1419</v>
      </c>
      <c r="E7982" t="s">
        <v>2116</v>
      </c>
      <c r="F7982" t="s">
        <v>1791</v>
      </c>
      <c r="J7982" t="str">
        <f>IF(ISBLANK('Q 8'!D288),"",IF('Q 8'!D288="&lt;please select&gt;","",'Q 8'!D288))</f>
        <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Yes</v>
      </c>
    </row>
    <row r="8170" spans="1:11" x14ac:dyDescent="0.3">
      <c r="A8170" t="s">
        <v>2130</v>
      </c>
      <c r="B8170" t="s">
        <v>2132</v>
      </c>
      <c r="C8170">
        <v>1</v>
      </c>
      <c r="D8170" t="s">
        <v>1447</v>
      </c>
      <c r="E8170" t="s">
        <v>2133</v>
      </c>
      <c r="F8170" t="s">
        <v>1806</v>
      </c>
      <c r="I8170" s="165" t="str">
        <f>IF(ISBLANK('Q 9'!$G9),"",IF('Q 9'!$G9="&lt;please select&gt;","",'Q 9'!$G9))</f>
        <v>400</v>
      </c>
    </row>
    <row r="8171" spans="1:11" x14ac:dyDescent="0.3">
      <c r="A8171" t="s">
        <v>2130</v>
      </c>
      <c r="B8171" t="s">
        <v>2132</v>
      </c>
      <c r="C8171">
        <v>2</v>
      </c>
      <c r="D8171" t="s">
        <v>1447</v>
      </c>
      <c r="E8171" t="s">
        <v>2133</v>
      </c>
      <c r="F8171" t="s">
        <v>1806</v>
      </c>
      <c r="I8171" s="165" t="str">
        <f>IF(ISBLANK('Q 9'!$G10),"",IF('Q 9'!$G10="&lt;please select&gt;","",'Q 9'!$G10))</f>
        <v>0</v>
      </c>
    </row>
    <row r="8172" spans="1:11" x14ac:dyDescent="0.3">
      <c r="A8172" t="s">
        <v>2130</v>
      </c>
      <c r="B8172" t="s">
        <v>2132</v>
      </c>
      <c r="C8172">
        <v>3</v>
      </c>
      <c r="D8172" t="s">
        <v>1447</v>
      </c>
      <c r="E8172" t="s">
        <v>2133</v>
      </c>
      <c r="F8172" t="s">
        <v>1806</v>
      </c>
      <c r="I8172" s="165" t="str">
        <f>IF(ISBLANK('Q 9'!$G11),"",IF('Q 9'!$G11="&lt;please select&gt;","",'Q 9'!$G11))</f>
        <v>0</v>
      </c>
    </row>
    <row r="8173" spans="1:11" x14ac:dyDescent="0.3">
      <c r="A8173" t="s">
        <v>2130</v>
      </c>
      <c r="B8173" t="s">
        <v>2132</v>
      </c>
      <c r="C8173">
        <v>4</v>
      </c>
      <c r="D8173" t="s">
        <v>1447</v>
      </c>
      <c r="E8173" t="s">
        <v>2133</v>
      </c>
      <c r="F8173" t="s">
        <v>1806</v>
      </c>
      <c r="I8173" s="165" t="str">
        <f>IF(ISBLANK('Q 9'!$G12),"",IF('Q 9'!$G12="&lt;please select&gt;","",'Q 9'!$G12))</f>
        <v>0</v>
      </c>
    </row>
    <row r="8174" spans="1:11" x14ac:dyDescent="0.3">
      <c r="A8174" t="s">
        <v>2130</v>
      </c>
      <c r="B8174" t="s">
        <v>2132</v>
      </c>
      <c r="C8174">
        <v>5</v>
      </c>
      <c r="D8174" t="s">
        <v>1447</v>
      </c>
      <c r="E8174" t="s">
        <v>2133</v>
      </c>
      <c r="F8174" t="s">
        <v>1806</v>
      </c>
      <c r="I8174" s="165" t="str">
        <f>IF(ISBLANK('Q 9'!$G13),"",IF('Q 9'!$G13="&lt;please select&gt;","",'Q 9'!$G13))</f>
        <v>0</v>
      </c>
    </row>
    <row r="8175" spans="1:11" x14ac:dyDescent="0.3">
      <c r="A8175" t="s">
        <v>2130</v>
      </c>
      <c r="B8175" t="s">
        <v>2132</v>
      </c>
      <c r="C8175">
        <v>6</v>
      </c>
      <c r="D8175" t="s">
        <v>1419</v>
      </c>
      <c r="E8175" t="s">
        <v>2133</v>
      </c>
      <c r="F8175" t="s">
        <v>1806</v>
      </c>
      <c r="I8175" s="165" t="str">
        <f>IF(ISBLANK('Q 9'!$G14),"",IF('Q 9'!$G14="&lt;please select&gt;","",'Q 9'!$G14))</f>
        <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No</v>
      </c>
    </row>
    <row r="8193" spans="1:10" x14ac:dyDescent="0.3">
      <c r="A8193" t="s">
        <v>2136</v>
      </c>
      <c r="B8193" t="s">
        <v>2138</v>
      </c>
      <c r="C8193">
        <v>1</v>
      </c>
      <c r="D8193" t="s">
        <v>1447</v>
      </c>
      <c r="E8193" t="s">
        <v>2133</v>
      </c>
      <c r="F8193" t="s">
        <v>1806</v>
      </c>
      <c r="I8193" s="165" t="str">
        <f>IF(ISBLANK('Q 9'!G34),"",IF('Q 9'!G34="&lt;please select&gt;","",'Q 9'!G34))</f>
        <v>0</v>
      </c>
    </row>
    <row r="8194" spans="1:10" x14ac:dyDescent="0.3">
      <c r="A8194" t="s">
        <v>2136</v>
      </c>
      <c r="B8194" t="s">
        <v>2138</v>
      </c>
      <c r="C8194">
        <v>2</v>
      </c>
      <c r="D8194" t="s">
        <v>1447</v>
      </c>
      <c r="E8194" t="s">
        <v>2133</v>
      </c>
      <c r="F8194" t="s">
        <v>1806</v>
      </c>
      <c r="I8194" s="165" t="str">
        <f>IF(ISBLANK('Q 9'!G35),"",IF('Q 9'!G35="&lt;please select&gt;","",'Q 9'!G35))</f>
        <v>0</v>
      </c>
    </row>
    <row r="8195" spans="1:10" x14ac:dyDescent="0.3">
      <c r="A8195" t="s">
        <v>2136</v>
      </c>
      <c r="B8195" t="s">
        <v>2138</v>
      </c>
      <c r="C8195">
        <v>3</v>
      </c>
      <c r="D8195" t="s">
        <v>1447</v>
      </c>
      <c r="E8195" t="s">
        <v>2133</v>
      </c>
      <c r="F8195" t="s">
        <v>1806</v>
      </c>
      <c r="I8195" s="165" t="str">
        <f>IF(ISBLANK('Q 9'!G36),"",IF('Q 9'!G36="&lt;please select&gt;","",'Q 9'!G36))</f>
        <v>0</v>
      </c>
    </row>
    <row r="8196" spans="1:10" x14ac:dyDescent="0.3">
      <c r="A8196" t="s">
        <v>2136</v>
      </c>
      <c r="B8196" t="s">
        <v>2138</v>
      </c>
      <c r="C8196">
        <v>4</v>
      </c>
      <c r="D8196" t="s">
        <v>1447</v>
      </c>
      <c r="E8196" t="s">
        <v>2133</v>
      </c>
      <c r="F8196" t="s">
        <v>1806</v>
      </c>
      <c r="I8196" s="165" t="str">
        <f>IF(ISBLANK('Q 9'!G37),"",IF('Q 9'!G37="&lt;please select&gt;","",'Q 9'!G37))</f>
        <v>0</v>
      </c>
    </row>
    <row r="8197" spans="1:10" x14ac:dyDescent="0.3">
      <c r="A8197" t="s">
        <v>2136</v>
      </c>
      <c r="B8197" t="s">
        <v>2138</v>
      </c>
      <c r="C8197">
        <v>5</v>
      </c>
      <c r="D8197" t="s">
        <v>1447</v>
      </c>
      <c r="E8197" t="s">
        <v>2133</v>
      </c>
      <c r="F8197" t="s">
        <v>1806</v>
      </c>
      <c r="I8197" s="165" t="str">
        <f>IF(ISBLANK('Q 9'!G38),"",IF('Q 9'!G38="&lt;please select&gt;","",'Q 9'!G38))</f>
        <v>0</v>
      </c>
    </row>
    <row r="8198" spans="1:10" x14ac:dyDescent="0.3">
      <c r="A8198" t="s">
        <v>2136</v>
      </c>
      <c r="B8198" t="s">
        <v>2138</v>
      </c>
      <c r="C8198">
        <v>6</v>
      </c>
      <c r="D8198" t="s">
        <v>1447</v>
      </c>
      <c r="E8198" t="s">
        <v>2133</v>
      </c>
      <c r="F8198" t="s">
        <v>1806</v>
      </c>
      <c r="I8198" s="165" t="str">
        <f>IF(ISBLANK('Q 9'!G39),"",IF('Q 9'!G39="&lt;please select&gt;","",'Q 9'!G39))</f>
        <v>0</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OpenAccounts</v>
      </c>
    </row>
    <row r="8217" spans="1:10" x14ac:dyDescent="0.3">
      <c r="A8217" t="s">
        <v>2136</v>
      </c>
      <c r="B8217" t="s">
        <v>2140</v>
      </c>
      <c r="C8217">
        <v>2</v>
      </c>
      <c r="D8217" t="s">
        <v>1447</v>
      </c>
      <c r="E8217" t="s">
        <v>2141</v>
      </c>
      <c r="F8217" t="s">
        <v>1741</v>
      </c>
      <c r="G8217" t="str">
        <f>IF(ISBLANK('Q 9'!$C61),"",IF('Q 9'!$C61="&lt;please select&gt;","",'Q 9'!$C61))</f>
        <v/>
      </c>
    </row>
    <row r="8218" spans="1:10" x14ac:dyDescent="0.3">
      <c r="A8218" t="s">
        <v>2136</v>
      </c>
      <c r="B8218" t="s">
        <v>2140</v>
      </c>
      <c r="C8218">
        <v>3</v>
      </c>
      <c r="D8218" t="s">
        <v>1447</v>
      </c>
      <c r="E8218" t="s">
        <v>2141</v>
      </c>
      <c r="F8218" t="s">
        <v>1741</v>
      </c>
      <c r="G8218" t="str">
        <f>IF(ISBLANK('Q 9'!$C62),"",IF('Q 9'!$C62="&lt;please select&gt;","",'Q 9'!$C62))</f>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46.5</v>
      </c>
    </row>
    <row r="8227" spans="1:9" x14ac:dyDescent="0.3">
      <c r="A8227" t="s">
        <v>2136</v>
      </c>
      <c r="B8227" t="s">
        <v>2140</v>
      </c>
      <c r="C8227">
        <v>2</v>
      </c>
      <c r="D8227" t="s">
        <v>1447</v>
      </c>
      <c r="E8227" t="s">
        <v>2142</v>
      </c>
      <c r="F8227" t="s">
        <v>1806</v>
      </c>
      <c r="I8227" s="165" t="str">
        <f>IF(ISBLANK('Q 9'!$G61),"",IF('Q 9'!$G61="&lt;please select&gt;","",'Q 9'!$G61))</f>
        <v/>
      </c>
    </row>
    <row r="8228" spans="1:9" x14ac:dyDescent="0.3">
      <c r="A8228" t="s">
        <v>2136</v>
      </c>
      <c r="B8228" t="s">
        <v>2140</v>
      </c>
      <c r="C8228">
        <v>3</v>
      </c>
      <c r="D8228" t="s">
        <v>1447</v>
      </c>
      <c r="E8228" t="s">
        <v>2142</v>
      </c>
      <c r="F8228" t="s">
        <v>1806</v>
      </c>
      <c r="I8228" s="165" t="str">
        <f>IF(ISBLANK('Q 9'!$G62),"",IF('Q 9'!$G62="&lt;please select&gt;","",'Q 9'!$G62))</f>
        <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Maintain</v>
      </c>
    </row>
    <row r="8237" spans="1:9" x14ac:dyDescent="0.3">
      <c r="A8237" t="s">
        <v>2136</v>
      </c>
      <c r="B8237" t="s">
        <v>2143</v>
      </c>
      <c r="C8237">
        <v>2</v>
      </c>
      <c r="D8237" t="s">
        <v>1447</v>
      </c>
      <c r="E8237" t="s">
        <v>2144</v>
      </c>
      <c r="F8237" t="s">
        <v>1741</v>
      </c>
      <c r="G8237" t="str">
        <f>IF(ISBLANK('Q 9'!$C75),"",IF('Q 9'!$C75="&lt;please select&gt;","",'Q 9'!$C75))</f>
        <v>FeePerAllow</v>
      </c>
    </row>
    <row r="8238" spans="1:9" x14ac:dyDescent="0.3">
      <c r="A8238" t="s">
        <v>2136</v>
      </c>
      <c r="B8238" t="s">
        <v>2143</v>
      </c>
      <c r="C8238">
        <v>3</v>
      </c>
      <c r="D8238" t="s">
        <v>1447</v>
      </c>
      <c r="E8238" t="s">
        <v>2144</v>
      </c>
      <c r="F8238" t="s">
        <v>1741</v>
      </c>
      <c r="G8238" t="str">
        <f>IF(ISBLANK('Q 9'!$C76),"",IF('Q 9'!$C76="&lt;please select&gt;","",'Q 9'!$C76))</f>
        <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93</v>
      </c>
    </row>
    <row r="8247" spans="1:11" x14ac:dyDescent="0.3">
      <c r="A8247" t="s">
        <v>2136</v>
      </c>
      <c r="B8247" t="s">
        <v>2143</v>
      </c>
      <c r="C8247">
        <v>2</v>
      </c>
      <c r="D8247" t="s">
        <v>1447</v>
      </c>
      <c r="E8247" t="s">
        <v>2145</v>
      </c>
      <c r="F8247" t="s">
        <v>1806</v>
      </c>
      <c r="I8247" s="165" t="str">
        <f>IF(ISBLANK('Q 9'!$G75),"",IF('Q 9'!$G75="&lt;please select&gt;","",'Q 9'!$G75))</f>
        <v>0.0043</v>
      </c>
    </row>
    <row r="8248" spans="1:11" x14ac:dyDescent="0.3">
      <c r="A8248" t="s">
        <v>2136</v>
      </c>
      <c r="B8248" t="s">
        <v>2143</v>
      </c>
      <c r="C8248">
        <v>3</v>
      </c>
      <c r="D8248" t="s">
        <v>1447</v>
      </c>
      <c r="E8248" t="s">
        <v>2145</v>
      </c>
      <c r="F8248" t="s">
        <v>1806</v>
      </c>
      <c r="I8248" s="165" t="str">
        <f>IF(ISBLANK('Q 9'!$G76),"",IF('Q 9'!$G76="&lt;please select&gt;","",'Q 9'!$G76))</f>
        <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No</v>
      </c>
    </row>
    <row r="8257" spans="1:11" x14ac:dyDescent="0.3">
      <c r="A8257" t="s">
        <v>2146</v>
      </c>
      <c r="B8257" t="s">
        <v>2147</v>
      </c>
      <c r="C8257">
        <v>2</v>
      </c>
      <c r="D8257" t="s">
        <v>1447</v>
      </c>
      <c r="E8257" t="s">
        <v>2148</v>
      </c>
      <c r="F8257" t="s">
        <v>1759</v>
      </c>
      <c r="K8257" t="str">
        <f>IF(ISBLANK('Q 10'!$H8),"",IF('Q 10'!$H8="&lt;please select&gt;","",'Q 10'!$H8))</f>
        <v>Yes</v>
      </c>
    </row>
    <row r="8258" spans="1:11" x14ac:dyDescent="0.3">
      <c r="A8258" t="s">
        <v>2146</v>
      </c>
      <c r="B8258" t="s">
        <v>2147</v>
      </c>
      <c r="C8258">
        <v>3</v>
      </c>
      <c r="D8258" t="s">
        <v>1447</v>
      </c>
      <c r="E8258" t="s">
        <v>2148</v>
      </c>
      <c r="F8258" t="s">
        <v>1759</v>
      </c>
      <c r="K8258" t="str">
        <f>IF(ISBLANK('Q 10'!$H9),"",IF('Q 10'!$H9="&lt;please select&gt;","",'Q 10'!$H9))</f>
        <v>Yes</v>
      </c>
    </row>
    <row r="8259" spans="1:11" x14ac:dyDescent="0.3">
      <c r="A8259" t="s">
        <v>2146</v>
      </c>
      <c r="B8259" t="s">
        <v>2147</v>
      </c>
      <c r="C8259">
        <v>4</v>
      </c>
      <c r="D8259" t="s">
        <v>1447</v>
      </c>
      <c r="E8259" t="s">
        <v>2148</v>
      </c>
      <c r="F8259" t="s">
        <v>1759</v>
      </c>
      <c r="K8259" t="str">
        <f>IF(ISBLANK('Q 10'!$H10),"",IF('Q 10'!$H10="&lt;please select&gt;","",'Q 10'!$H10))</f>
        <v>No</v>
      </c>
    </row>
    <row r="8260" spans="1:11" x14ac:dyDescent="0.3">
      <c r="A8260" t="s">
        <v>2146</v>
      </c>
      <c r="B8260" t="s">
        <v>2147</v>
      </c>
      <c r="C8260">
        <v>5</v>
      </c>
      <c r="D8260" t="s">
        <v>1447</v>
      </c>
      <c r="E8260" t="s">
        <v>2148</v>
      </c>
      <c r="F8260" t="s">
        <v>1759</v>
      </c>
      <c r="K8260" t="str">
        <f>IF(ISBLANK('Q 10'!$H11),"",IF('Q 10'!$H11="&lt;please select&gt;","",'Q 10'!$H11))</f>
        <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The EU ETS competent authority is not an inspection body in CZ, but may take part in witnessed audits (verification). Nevertheless, due to the epidemy no witness audit was performed in 2021 by the competent authority.</v>
      </c>
    </row>
    <row r="8265" spans="1:11" x14ac:dyDescent="0.3">
      <c r="A8265" t="s">
        <v>2146</v>
      </c>
      <c r="B8265" t="s">
        <v>2147</v>
      </c>
      <c r="C8265">
        <v>2</v>
      </c>
      <c r="D8265" t="s">
        <v>1447</v>
      </c>
      <c r="E8265" t="s">
        <v>2149</v>
      </c>
      <c r="F8265" t="s">
        <v>1791</v>
      </c>
      <c r="J8265" t="str">
        <f>IF(ISBLANK('Q 10'!$I8),"",IF('Q 10'!$I8="&lt;please select&gt;","",'Q 10'!$I8))</f>
        <v>In cases of insolvency /liquidation.</v>
      </c>
    </row>
    <row r="8266" spans="1:11" x14ac:dyDescent="0.3">
      <c r="A8266" t="s">
        <v>2146</v>
      </c>
      <c r="B8266" t="s">
        <v>2147</v>
      </c>
      <c r="C8266">
        <v>3</v>
      </c>
      <c r="D8266" t="s">
        <v>1447</v>
      </c>
      <c r="E8266" t="s">
        <v>2149</v>
      </c>
      <c r="F8266" t="s">
        <v>1791</v>
      </c>
      <c r="J8266" t="str">
        <f>IF(ISBLANK('Q 10'!$I9),"",IF('Q 10'!$I9="&lt;please select&gt;","",'Q 10'!$I9))</f>
        <v>Suspension of the account</v>
      </c>
    </row>
    <row r="8267" spans="1:11" x14ac:dyDescent="0.3">
      <c r="A8267" t="s">
        <v>2146</v>
      </c>
      <c r="B8267" t="s">
        <v>2147</v>
      </c>
      <c r="C8267">
        <v>4</v>
      </c>
      <c r="D8267" t="s">
        <v>1447</v>
      </c>
      <c r="E8267" t="s">
        <v>2149</v>
      </c>
      <c r="F8267" t="s">
        <v>1791</v>
      </c>
      <c r="J8267" t="str">
        <f>IF(ISBLANK('Q 10'!$I10),"",IF('Q 10'!$I10="&lt;please select&gt;","",'Q 10'!$I10))</f>
        <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0</v>
      </c>
    </row>
    <row r="8277" spans="1:10" x14ac:dyDescent="0.3">
      <c r="A8277" t="s">
        <v>2151</v>
      </c>
      <c r="B8277" t="s">
        <v>2152</v>
      </c>
      <c r="C8277">
        <v>2</v>
      </c>
      <c r="D8277" t="s">
        <v>1447</v>
      </c>
      <c r="E8277" t="s">
        <v>2111</v>
      </c>
      <c r="F8277" t="s">
        <v>1806</v>
      </c>
      <c r="I8277" s="165" t="str">
        <f>IF(ISBLANK('Q 10'!$E22),"",IF('Q 10'!$E22="&lt;please select&gt;","",'Q 10'!$E22))</f>
        <v>0</v>
      </c>
    </row>
    <row r="8278" spans="1:10" x14ac:dyDescent="0.3">
      <c r="A8278" t="s">
        <v>2151</v>
      </c>
      <c r="B8278" t="s">
        <v>2152</v>
      </c>
      <c r="C8278">
        <v>3</v>
      </c>
      <c r="D8278" t="s">
        <v>1447</v>
      </c>
      <c r="E8278" t="s">
        <v>2111</v>
      </c>
      <c r="F8278" t="s">
        <v>1806</v>
      </c>
      <c r="I8278" s="165" t="str">
        <f>IF(ISBLANK('Q 10'!$E23),"",IF('Q 10'!$E23="&lt;please select&gt;","",'Q 10'!$E23))</f>
        <v>0</v>
      </c>
    </row>
    <row r="8279" spans="1:10" x14ac:dyDescent="0.3">
      <c r="A8279" t="s">
        <v>2151</v>
      </c>
      <c r="B8279" t="s">
        <v>2152</v>
      </c>
      <c r="C8279">
        <v>4</v>
      </c>
      <c r="D8279" t="s">
        <v>1447</v>
      </c>
      <c r="E8279" t="s">
        <v>2111</v>
      </c>
      <c r="F8279" t="s">
        <v>1806</v>
      </c>
      <c r="I8279" s="165" t="str">
        <f>IF(ISBLANK('Q 10'!$E24),"",IF('Q 10'!$E24="&lt;please select&gt;","",'Q 10'!$E24))</f>
        <v/>
      </c>
    </row>
    <row r="8280" spans="1:10" x14ac:dyDescent="0.3">
      <c r="A8280" t="s">
        <v>2151</v>
      </c>
      <c r="B8280" t="s">
        <v>2152</v>
      </c>
      <c r="C8280">
        <v>5</v>
      </c>
      <c r="D8280" t="s">
        <v>1447</v>
      </c>
      <c r="E8280" t="s">
        <v>2111</v>
      </c>
      <c r="F8280" t="s">
        <v>1806</v>
      </c>
      <c r="I8280" s="165" t="str">
        <f>IF(ISBLANK('Q 10'!$E25),"",IF('Q 10'!$E25="&lt;please select&gt;","",'Q 10'!$E25))</f>
        <v/>
      </c>
    </row>
    <row r="8281" spans="1:10" x14ac:dyDescent="0.3">
      <c r="A8281" t="s">
        <v>2151</v>
      </c>
      <c r="B8281" t="s">
        <v>2152</v>
      </c>
      <c r="C8281">
        <v>6</v>
      </c>
      <c r="D8281" t="s">
        <v>1447</v>
      </c>
      <c r="E8281" t="s">
        <v>2111</v>
      </c>
      <c r="F8281" t="s">
        <v>1806</v>
      </c>
      <c r="I8281" s="165" t="str">
        <f>IF(ISBLANK('Q 10'!$E26),"",IF('Q 10'!$E26="&lt;please select&gt;","",'Q 10'!$E26))</f>
        <v>0</v>
      </c>
    </row>
    <row r="8282" spans="1:10" x14ac:dyDescent="0.3">
      <c r="A8282" t="s">
        <v>2151</v>
      </c>
      <c r="B8282" t="s">
        <v>2152</v>
      </c>
      <c r="C8282">
        <v>7</v>
      </c>
      <c r="D8282" t="s">
        <v>1447</v>
      </c>
      <c r="E8282" t="s">
        <v>2111</v>
      </c>
      <c r="F8282" t="s">
        <v>1806</v>
      </c>
      <c r="I8282" s="165" t="str">
        <f>IF(ISBLANK('Q 10'!$E27),"",IF('Q 10'!$E27="&lt;please select&gt;","",'Q 10'!$E27))</f>
        <v>0</v>
      </c>
    </row>
    <row r="8283" spans="1:10" x14ac:dyDescent="0.3">
      <c r="A8283" t="s">
        <v>2151</v>
      </c>
      <c r="B8283" t="s">
        <v>2152</v>
      </c>
      <c r="C8283">
        <v>8</v>
      </c>
      <c r="D8283" t="s">
        <v>1447</v>
      </c>
      <c r="E8283" t="s">
        <v>2111</v>
      </c>
      <c r="F8283" t="s">
        <v>1806</v>
      </c>
      <c r="I8283" s="165" t="str">
        <f>IF(ISBLANK('Q 10'!$E28),"",IF('Q 10'!$E28="&lt;please select&gt;","",'Q 10'!$E28))</f>
        <v>0</v>
      </c>
    </row>
    <row r="8284" spans="1:10" x14ac:dyDescent="0.3">
      <c r="A8284" t="s">
        <v>2151</v>
      </c>
      <c r="B8284" t="s">
        <v>2152</v>
      </c>
      <c r="C8284">
        <v>9</v>
      </c>
      <c r="D8284" t="s">
        <v>1447</v>
      </c>
      <c r="E8284" t="s">
        <v>2111</v>
      </c>
      <c r="F8284" t="s">
        <v>1806</v>
      </c>
      <c r="I8284" s="165" t="str">
        <f>IF(ISBLANK('Q 10'!$E29),"",IF('Q 10'!$E29="&lt;please select&gt;","",'Q 10'!$E29))</f>
        <v/>
      </c>
    </row>
    <row r="8285" spans="1:10" x14ac:dyDescent="0.3">
      <c r="A8285" t="s">
        <v>2151</v>
      </c>
      <c r="B8285" t="s">
        <v>2152</v>
      </c>
      <c r="C8285">
        <v>10</v>
      </c>
      <c r="D8285" t="s">
        <v>1447</v>
      </c>
      <c r="E8285" t="s">
        <v>2111</v>
      </c>
      <c r="F8285" t="s">
        <v>1806</v>
      </c>
      <c r="I8285" s="165" t="str">
        <f>IF(ISBLANK('Q 10'!$E30),"",IF('Q 10'!$E30="&lt;please select&gt;","",'Q 10'!$E30))</f>
        <v/>
      </c>
    </row>
    <row r="8286" spans="1:10" x14ac:dyDescent="0.3">
      <c r="A8286" t="s">
        <v>2151</v>
      </c>
      <c r="B8286" t="s">
        <v>2152</v>
      </c>
      <c r="C8286">
        <v>11</v>
      </c>
      <c r="D8286" t="s">
        <v>1447</v>
      </c>
      <c r="E8286" t="s">
        <v>2111</v>
      </c>
      <c r="F8286" t="s">
        <v>1806</v>
      </c>
      <c r="I8286" s="165" t="str">
        <f>IF(ISBLANK('Q 10'!$E31),"",IF('Q 10'!$E31="&lt;please select&gt;","",'Q 10'!$E31))</f>
        <v>0</v>
      </c>
    </row>
    <row r="8287" spans="1:10" x14ac:dyDescent="0.3">
      <c r="A8287" t="s">
        <v>2151</v>
      </c>
      <c r="B8287" t="s">
        <v>2152</v>
      </c>
      <c r="C8287">
        <v>12</v>
      </c>
      <c r="D8287" t="s">
        <v>1447</v>
      </c>
      <c r="E8287" t="s">
        <v>2111</v>
      </c>
      <c r="F8287" t="s">
        <v>1806</v>
      </c>
      <c r="I8287" s="165" t="str">
        <f>IF(ISBLANK('Q 10'!$E32),"",IF('Q 10'!$E32="&lt;please select&gt;","",'Q 10'!$E32))</f>
        <v>0</v>
      </c>
    </row>
    <row r="8288" spans="1:10" x14ac:dyDescent="0.3">
      <c r="A8288" t="s">
        <v>2151</v>
      </c>
      <c r="B8288" t="s">
        <v>2152</v>
      </c>
      <c r="C8288">
        <v>13</v>
      </c>
      <c r="D8288" t="s">
        <v>1447</v>
      </c>
      <c r="E8288" t="s">
        <v>2111</v>
      </c>
      <c r="F8288" t="s">
        <v>1806</v>
      </c>
      <c r="I8288" s="165" t="str">
        <f>IF(ISBLANK('Q 10'!$E33),"",IF('Q 10'!$E33="&lt;please select&gt;","",'Q 10'!$E33))</f>
        <v>0</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200000</v>
      </c>
    </row>
    <row r="8313" spans="1:9" x14ac:dyDescent="0.3">
      <c r="A8313" t="s">
        <v>2151</v>
      </c>
      <c r="B8313" t="s">
        <v>2152</v>
      </c>
      <c r="C8313">
        <v>2</v>
      </c>
      <c r="D8313" t="s">
        <v>1447</v>
      </c>
      <c r="E8313" t="s">
        <v>2112</v>
      </c>
      <c r="F8313" t="s">
        <v>1806</v>
      </c>
      <c r="I8313" s="165" t="str">
        <f>IF(ISBLANK('Q 10'!$F22),"",IF('Q 10'!$F22="&lt;please select&gt;","",'Q 10'!$F22))</f>
        <v>200000</v>
      </c>
    </row>
    <row r="8314" spans="1:9" x14ac:dyDescent="0.3">
      <c r="A8314" t="s">
        <v>2151</v>
      </c>
      <c r="B8314" t="s">
        <v>2152</v>
      </c>
      <c r="C8314">
        <v>3</v>
      </c>
      <c r="D8314" t="s">
        <v>1447</v>
      </c>
      <c r="E8314" t="s">
        <v>2112</v>
      </c>
      <c r="F8314" t="s">
        <v>1806</v>
      </c>
      <c r="I8314" s="165" t="str">
        <f>IF(ISBLANK('Q 10'!$F23),"",IF('Q 10'!$F23="&lt;please select&gt;","",'Q 10'!$F23))</f>
        <v>20000</v>
      </c>
    </row>
    <row r="8315" spans="1:9" x14ac:dyDescent="0.3">
      <c r="A8315" t="s">
        <v>2151</v>
      </c>
      <c r="B8315" t="s">
        <v>2152</v>
      </c>
      <c r="C8315">
        <v>4</v>
      </c>
      <c r="D8315" t="s">
        <v>1447</v>
      </c>
      <c r="E8315" t="s">
        <v>2112</v>
      </c>
      <c r="F8315" t="s">
        <v>1806</v>
      </c>
      <c r="I8315" s="165" t="str">
        <f>IF(ISBLANK('Q 10'!$F24),"",IF('Q 10'!$F24="&lt;please select&gt;","",'Q 10'!$F24))</f>
        <v/>
      </c>
    </row>
    <row r="8316" spans="1:9" x14ac:dyDescent="0.3">
      <c r="A8316" t="s">
        <v>2151</v>
      </c>
      <c r="B8316" t="s">
        <v>2152</v>
      </c>
      <c r="C8316">
        <v>5</v>
      </c>
      <c r="D8316" t="s">
        <v>1447</v>
      </c>
      <c r="E8316" t="s">
        <v>2112</v>
      </c>
      <c r="F8316" t="s">
        <v>1806</v>
      </c>
      <c r="I8316" s="165" t="str">
        <f>IF(ISBLANK('Q 10'!$F25),"",IF('Q 10'!$F25="&lt;please select&gt;","",'Q 10'!$F25))</f>
        <v/>
      </c>
    </row>
    <row r="8317" spans="1:9" x14ac:dyDescent="0.3">
      <c r="A8317" t="s">
        <v>2151</v>
      </c>
      <c r="B8317" t="s">
        <v>2152</v>
      </c>
      <c r="C8317">
        <v>6</v>
      </c>
      <c r="D8317" t="s">
        <v>1447</v>
      </c>
      <c r="E8317" t="s">
        <v>2112</v>
      </c>
      <c r="F8317" t="s">
        <v>1806</v>
      </c>
      <c r="I8317" s="165" t="str">
        <f>IF(ISBLANK('Q 10'!$F26),"",IF('Q 10'!$F26="&lt;please select&gt;","",'Q 10'!$F26))</f>
        <v>800000</v>
      </c>
    </row>
    <row r="8318" spans="1:9" x14ac:dyDescent="0.3">
      <c r="A8318" t="s">
        <v>2151</v>
      </c>
      <c r="B8318" t="s">
        <v>2152</v>
      </c>
      <c r="C8318">
        <v>7</v>
      </c>
      <c r="D8318" t="s">
        <v>1447</v>
      </c>
      <c r="E8318" t="s">
        <v>2112</v>
      </c>
      <c r="F8318" t="s">
        <v>1806</v>
      </c>
      <c r="I8318" s="165" t="str">
        <f>IF(ISBLANK('Q 10'!$F27),"",IF('Q 10'!$F27="&lt;please select&gt;","",'Q 10'!$F27))</f>
        <v>4000</v>
      </c>
    </row>
    <row r="8319" spans="1:9" x14ac:dyDescent="0.3">
      <c r="A8319" t="s">
        <v>2151</v>
      </c>
      <c r="B8319" t="s">
        <v>2152</v>
      </c>
      <c r="C8319">
        <v>8</v>
      </c>
      <c r="D8319" t="s">
        <v>1447</v>
      </c>
      <c r="E8319" t="s">
        <v>2112</v>
      </c>
      <c r="F8319" t="s">
        <v>1806</v>
      </c>
      <c r="I8319" s="165" t="str">
        <f>IF(ISBLANK('Q 10'!$F28),"",IF('Q 10'!$F28="&lt;please select&gt;","",'Q 10'!$F28))</f>
        <v>20000</v>
      </c>
    </row>
    <row r="8320" spans="1:9" x14ac:dyDescent="0.3">
      <c r="A8320" t="s">
        <v>2151</v>
      </c>
      <c r="B8320" t="s">
        <v>2152</v>
      </c>
      <c r="C8320">
        <v>9</v>
      </c>
      <c r="D8320" t="s">
        <v>1447</v>
      </c>
      <c r="E8320" t="s">
        <v>2112</v>
      </c>
      <c r="F8320" t="s">
        <v>1806</v>
      </c>
      <c r="I8320" s="165" t="str">
        <f>IF(ISBLANK('Q 10'!$F29),"",IF('Q 10'!$F29="&lt;please select&gt;","",'Q 10'!$F29))</f>
        <v/>
      </c>
    </row>
    <row r="8321" spans="1:9" x14ac:dyDescent="0.3">
      <c r="A8321" t="s">
        <v>2151</v>
      </c>
      <c r="B8321" t="s">
        <v>2152</v>
      </c>
      <c r="C8321">
        <v>10</v>
      </c>
      <c r="D8321" t="s">
        <v>1447</v>
      </c>
      <c r="E8321" t="s">
        <v>2112</v>
      </c>
      <c r="F8321" t="s">
        <v>1806</v>
      </c>
      <c r="I8321" s="165" t="str">
        <f>IF(ISBLANK('Q 10'!$F30),"",IF('Q 10'!$F30="&lt;please select&gt;","",'Q 10'!$F30))</f>
        <v/>
      </c>
    </row>
    <row r="8322" spans="1:9" x14ac:dyDescent="0.3">
      <c r="A8322" t="s">
        <v>2151</v>
      </c>
      <c r="B8322" t="s">
        <v>2152</v>
      </c>
      <c r="C8322">
        <v>11</v>
      </c>
      <c r="D8322" t="s">
        <v>1447</v>
      </c>
      <c r="E8322" t="s">
        <v>2112</v>
      </c>
      <c r="F8322" t="s">
        <v>1806</v>
      </c>
      <c r="I8322" s="165" t="str">
        <f>IF(ISBLANK('Q 10'!$F31),"",IF('Q 10'!$F31="&lt;please select&gt;","",'Q 10'!$F31))</f>
        <v>800000</v>
      </c>
    </row>
    <row r="8323" spans="1:9" x14ac:dyDescent="0.3">
      <c r="A8323" t="s">
        <v>2151</v>
      </c>
      <c r="B8323" t="s">
        <v>2152</v>
      </c>
      <c r="C8323">
        <v>12</v>
      </c>
      <c r="D8323" t="s">
        <v>1447</v>
      </c>
      <c r="E8323" t="s">
        <v>2112</v>
      </c>
      <c r="F8323" t="s">
        <v>1806</v>
      </c>
      <c r="I8323" s="165" t="str">
        <f>IF(ISBLANK('Q 10'!$F32),"",IF('Q 10'!$F32="&lt;please select&gt;","",'Q 10'!$F32))</f>
        <v>200000</v>
      </c>
    </row>
    <row r="8324" spans="1:9" x14ac:dyDescent="0.3">
      <c r="A8324" t="s">
        <v>2151</v>
      </c>
      <c r="B8324" t="s">
        <v>2152</v>
      </c>
      <c r="C8324">
        <v>13</v>
      </c>
      <c r="D8324" t="s">
        <v>1447</v>
      </c>
      <c r="E8324" t="s">
        <v>2112</v>
      </c>
      <c r="F8324" t="s">
        <v>1806</v>
      </c>
      <c r="I8324" s="165" t="str">
        <f>IF(ISBLANK('Q 10'!$F33),"",IF('Q 10'!$F33="&lt;please select&gt;","",'Q 10'!$F33))</f>
        <v>4000</v>
      </c>
    </row>
    <row r="8325" spans="1:9" x14ac:dyDescent="0.3">
      <c r="A8325" t="s">
        <v>2151</v>
      </c>
      <c r="B8325" t="s">
        <v>2152</v>
      </c>
      <c r="C8325">
        <v>14</v>
      </c>
      <c r="D8325" t="s">
        <v>1447</v>
      </c>
      <c r="E8325" t="s">
        <v>2112</v>
      </c>
      <c r="F8325" t="s">
        <v>1806</v>
      </c>
      <c r="I8325" s="165" t="str">
        <f>IF(ISBLANK('Q 10'!$F34),"",IF('Q 10'!$F34="&lt;please select&gt;","",'Q 10'!$F34))</f>
        <v>100</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
      </c>
    </row>
    <row r="8349" spans="1:9" x14ac:dyDescent="0.3">
      <c r="A8349" t="s">
        <v>2151</v>
      </c>
      <c r="B8349" t="s">
        <v>2152</v>
      </c>
      <c r="C8349">
        <v>2</v>
      </c>
      <c r="D8349" t="s">
        <v>1447</v>
      </c>
      <c r="E8349" t="s">
        <v>2113</v>
      </c>
      <c r="F8349" t="s">
        <v>1806</v>
      </c>
      <c r="I8349" s="165" t="str">
        <f>IF(ISBLANK('Q 10'!$G22),"",IF('Q 10'!$G22="&lt;please select&gt;","",'Q 10'!$G22))</f>
        <v/>
      </c>
    </row>
    <row r="8350" spans="1:9" x14ac:dyDescent="0.3">
      <c r="A8350" t="s">
        <v>2151</v>
      </c>
      <c r="B8350" t="s">
        <v>2152</v>
      </c>
      <c r="C8350">
        <v>3</v>
      </c>
      <c r="D8350" t="s">
        <v>1447</v>
      </c>
      <c r="E8350" t="s">
        <v>2113</v>
      </c>
      <c r="F8350" t="s">
        <v>1806</v>
      </c>
      <c r="I8350" s="165" t="str">
        <f>IF(ISBLANK('Q 10'!$G23),"",IF('Q 10'!$G23="&lt;please select&gt;","",'Q 10'!$G23))</f>
        <v/>
      </c>
    </row>
    <row r="8351" spans="1:9" x14ac:dyDescent="0.3">
      <c r="A8351" t="s">
        <v>2151</v>
      </c>
      <c r="B8351" t="s">
        <v>2152</v>
      </c>
      <c r="C8351">
        <v>4</v>
      </c>
      <c r="D8351" t="s">
        <v>1447</v>
      </c>
      <c r="E8351" t="s">
        <v>2113</v>
      </c>
      <c r="F8351" t="s">
        <v>1806</v>
      </c>
      <c r="I8351" s="165" t="str">
        <f>IF(ISBLANK('Q 10'!$G24),"",IF('Q 10'!$G24="&lt;please select&gt;","",'Q 10'!$G24))</f>
        <v/>
      </c>
    </row>
    <row r="8352" spans="1:9" x14ac:dyDescent="0.3">
      <c r="A8352" t="s">
        <v>2151</v>
      </c>
      <c r="B8352" t="s">
        <v>2152</v>
      </c>
      <c r="C8352">
        <v>5</v>
      </c>
      <c r="D8352" t="s">
        <v>1447</v>
      </c>
      <c r="E8352" t="s">
        <v>2113</v>
      </c>
      <c r="F8352" t="s">
        <v>1806</v>
      </c>
      <c r="I8352" s="165" t="str">
        <f>IF(ISBLANK('Q 10'!$G25),"",IF('Q 10'!$G25="&lt;please select&gt;","",'Q 10'!$G25))</f>
        <v/>
      </c>
    </row>
    <row r="8353" spans="1:9" x14ac:dyDescent="0.3">
      <c r="A8353" t="s">
        <v>2151</v>
      </c>
      <c r="B8353" t="s">
        <v>2152</v>
      </c>
      <c r="C8353">
        <v>6</v>
      </c>
      <c r="D8353" t="s">
        <v>1447</v>
      </c>
      <c r="E8353" t="s">
        <v>2113</v>
      </c>
      <c r="F8353" t="s">
        <v>1806</v>
      </c>
      <c r="I8353" s="165" t="str">
        <f>IF(ISBLANK('Q 10'!$G26),"",IF('Q 10'!$G26="&lt;please select&gt;","",'Q 10'!$G26))</f>
        <v/>
      </c>
    </row>
    <row r="8354" spans="1:9" x14ac:dyDescent="0.3">
      <c r="A8354" t="s">
        <v>2151</v>
      </c>
      <c r="B8354" t="s">
        <v>2152</v>
      </c>
      <c r="C8354">
        <v>7</v>
      </c>
      <c r="D8354" t="s">
        <v>1447</v>
      </c>
      <c r="E8354" t="s">
        <v>2113</v>
      </c>
      <c r="F8354" t="s">
        <v>1806</v>
      </c>
      <c r="I8354" s="165" t="str">
        <f>IF(ISBLANK('Q 10'!$G27),"",IF('Q 10'!$G27="&lt;please select&gt;","",'Q 10'!$G27))</f>
        <v/>
      </c>
    </row>
    <row r="8355" spans="1:9" x14ac:dyDescent="0.3">
      <c r="A8355" t="s">
        <v>2151</v>
      </c>
      <c r="B8355" t="s">
        <v>2152</v>
      </c>
      <c r="C8355">
        <v>8</v>
      </c>
      <c r="D8355" t="s">
        <v>1447</v>
      </c>
      <c r="E8355" t="s">
        <v>2113</v>
      </c>
      <c r="F8355" t="s">
        <v>1806</v>
      </c>
      <c r="I8355" s="165" t="str">
        <f>IF(ISBLANK('Q 10'!$G28),"",IF('Q 10'!$G28="&lt;please select&gt;","",'Q 10'!$G28))</f>
        <v/>
      </c>
    </row>
    <row r="8356" spans="1:9" x14ac:dyDescent="0.3">
      <c r="A8356" t="s">
        <v>2151</v>
      </c>
      <c r="B8356" t="s">
        <v>2152</v>
      </c>
      <c r="C8356">
        <v>9</v>
      </c>
      <c r="D8356" t="s">
        <v>1447</v>
      </c>
      <c r="E8356" t="s">
        <v>2113</v>
      </c>
      <c r="F8356" t="s">
        <v>1806</v>
      </c>
      <c r="I8356" s="165" t="str">
        <f>IF(ISBLANK('Q 10'!$G29),"",IF('Q 10'!$G29="&lt;please select&gt;","",'Q 10'!$G29))</f>
        <v/>
      </c>
    </row>
    <row r="8357" spans="1:9" x14ac:dyDescent="0.3">
      <c r="A8357" t="s">
        <v>2151</v>
      </c>
      <c r="B8357" t="s">
        <v>2152</v>
      </c>
      <c r="C8357">
        <v>10</v>
      </c>
      <c r="D8357" t="s">
        <v>1447</v>
      </c>
      <c r="E8357" t="s">
        <v>2113</v>
      </c>
      <c r="F8357" t="s">
        <v>1806</v>
      </c>
      <c r="I8357" s="165" t="str">
        <f>IF(ISBLANK('Q 10'!$G30),"",IF('Q 10'!$G30="&lt;please select&gt;","",'Q 10'!$G30))</f>
        <v/>
      </c>
    </row>
    <row r="8358" spans="1:9" x14ac:dyDescent="0.3">
      <c r="A8358" t="s">
        <v>2151</v>
      </c>
      <c r="B8358" t="s">
        <v>2152</v>
      </c>
      <c r="C8358">
        <v>11</v>
      </c>
      <c r="D8358" t="s">
        <v>1447</v>
      </c>
      <c r="E8358" t="s">
        <v>2113</v>
      </c>
      <c r="F8358" t="s">
        <v>1806</v>
      </c>
      <c r="I8358" s="165" t="str">
        <f>IF(ISBLANK('Q 10'!$G31),"",IF('Q 10'!$G31="&lt;please select&gt;","",'Q 10'!$G31))</f>
        <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
      </c>
    </row>
    <row r="8385" spans="1:9" x14ac:dyDescent="0.3">
      <c r="A8385" t="s">
        <v>2151</v>
      </c>
      <c r="B8385" t="s">
        <v>2152</v>
      </c>
      <c r="C8385">
        <v>2</v>
      </c>
      <c r="D8385" t="s">
        <v>1447</v>
      </c>
      <c r="E8385" t="s">
        <v>2114</v>
      </c>
      <c r="F8385" t="s">
        <v>1806</v>
      </c>
      <c r="I8385" s="165" t="str">
        <f>IF(ISBLANK('Q 10'!$H22),"",IF('Q 10'!$H22="&lt;please select&gt;","",'Q 10'!$H22))</f>
        <v/>
      </c>
    </row>
    <row r="8386" spans="1:9" x14ac:dyDescent="0.3">
      <c r="A8386" t="s">
        <v>2151</v>
      </c>
      <c r="B8386" t="s">
        <v>2152</v>
      </c>
      <c r="C8386">
        <v>3</v>
      </c>
      <c r="D8386" t="s">
        <v>1447</v>
      </c>
      <c r="E8386" t="s">
        <v>2114</v>
      </c>
      <c r="F8386" t="s">
        <v>1806</v>
      </c>
      <c r="I8386" s="165" t="str">
        <f>IF(ISBLANK('Q 10'!$H23),"",IF('Q 10'!$H23="&lt;please select&gt;","",'Q 10'!$H23))</f>
        <v/>
      </c>
    </row>
    <row r="8387" spans="1:9" x14ac:dyDescent="0.3">
      <c r="A8387" t="s">
        <v>2151</v>
      </c>
      <c r="B8387" t="s">
        <v>2152</v>
      </c>
      <c r="C8387">
        <v>4</v>
      </c>
      <c r="D8387" t="s">
        <v>1447</v>
      </c>
      <c r="E8387" t="s">
        <v>2114</v>
      </c>
      <c r="F8387" t="s">
        <v>1806</v>
      </c>
      <c r="I8387" s="165" t="str">
        <f>IF(ISBLANK('Q 10'!$H24),"",IF('Q 10'!$H24="&lt;please select&gt;","",'Q 10'!$H24))</f>
        <v/>
      </c>
    </row>
    <row r="8388" spans="1:9" x14ac:dyDescent="0.3">
      <c r="A8388" t="s">
        <v>2151</v>
      </c>
      <c r="B8388" t="s">
        <v>2152</v>
      </c>
      <c r="C8388">
        <v>5</v>
      </c>
      <c r="D8388" t="s">
        <v>1447</v>
      </c>
      <c r="E8388" t="s">
        <v>2114</v>
      </c>
      <c r="F8388" t="s">
        <v>1806</v>
      </c>
      <c r="I8388" s="165" t="str">
        <f>IF(ISBLANK('Q 10'!$H25),"",IF('Q 10'!$H25="&lt;please select&gt;","",'Q 10'!$H25))</f>
        <v/>
      </c>
    </row>
    <row r="8389" spans="1:9" x14ac:dyDescent="0.3">
      <c r="A8389" t="s">
        <v>2151</v>
      </c>
      <c r="B8389" t="s">
        <v>2152</v>
      </c>
      <c r="C8389">
        <v>6</v>
      </c>
      <c r="D8389" t="s">
        <v>1447</v>
      </c>
      <c r="E8389" t="s">
        <v>2114</v>
      </c>
      <c r="F8389" t="s">
        <v>1806</v>
      </c>
      <c r="I8389" s="165" t="str">
        <f>IF(ISBLANK('Q 10'!$H26),"",IF('Q 10'!$H26="&lt;please select&gt;","",'Q 10'!$H26))</f>
        <v/>
      </c>
    </row>
    <row r="8390" spans="1:9" x14ac:dyDescent="0.3">
      <c r="A8390" t="s">
        <v>2151</v>
      </c>
      <c r="B8390" t="s">
        <v>2152</v>
      </c>
      <c r="C8390">
        <v>7</v>
      </c>
      <c r="D8390" t="s">
        <v>1447</v>
      </c>
      <c r="E8390" t="s">
        <v>2114</v>
      </c>
      <c r="F8390" t="s">
        <v>1806</v>
      </c>
      <c r="I8390" s="165" t="str">
        <f>IF(ISBLANK('Q 10'!$H27),"",IF('Q 10'!$H27="&lt;please select&gt;","",'Q 10'!$H27))</f>
        <v/>
      </c>
    </row>
    <row r="8391" spans="1:9" x14ac:dyDescent="0.3">
      <c r="A8391" t="s">
        <v>2151</v>
      </c>
      <c r="B8391" t="s">
        <v>2152</v>
      </c>
      <c r="C8391">
        <v>8</v>
      </c>
      <c r="D8391" t="s">
        <v>1447</v>
      </c>
      <c r="E8391" t="s">
        <v>2114</v>
      </c>
      <c r="F8391" t="s">
        <v>1806</v>
      </c>
      <c r="I8391" s="165" t="str">
        <f>IF(ISBLANK('Q 10'!$H28),"",IF('Q 10'!$H28="&lt;please select&gt;","",'Q 10'!$H28))</f>
        <v/>
      </c>
    </row>
    <row r="8392" spans="1:9" x14ac:dyDescent="0.3">
      <c r="A8392" t="s">
        <v>2151</v>
      </c>
      <c r="B8392" t="s">
        <v>2152</v>
      </c>
      <c r="C8392">
        <v>9</v>
      </c>
      <c r="D8392" t="s">
        <v>1447</v>
      </c>
      <c r="E8392" t="s">
        <v>2114</v>
      </c>
      <c r="F8392" t="s">
        <v>1806</v>
      </c>
      <c r="I8392" s="165" t="str">
        <f>IF(ISBLANK('Q 10'!$H29),"",IF('Q 10'!$H29="&lt;please select&gt;","",'Q 10'!$H29))</f>
        <v/>
      </c>
    </row>
    <row r="8393" spans="1:9" x14ac:dyDescent="0.3">
      <c r="A8393" t="s">
        <v>2151</v>
      </c>
      <c r="B8393" t="s">
        <v>2152</v>
      </c>
      <c r="C8393">
        <v>10</v>
      </c>
      <c r="D8393" t="s">
        <v>1447</v>
      </c>
      <c r="E8393" t="s">
        <v>2114</v>
      </c>
      <c r="F8393" t="s">
        <v>1806</v>
      </c>
      <c r="I8393" s="165" t="str">
        <f>IF(ISBLANK('Q 10'!$H30),"",IF('Q 10'!$H30="&lt;please select&gt;","",'Q 10'!$H30))</f>
        <v/>
      </c>
    </row>
    <row r="8394" spans="1:9" x14ac:dyDescent="0.3">
      <c r="A8394" t="s">
        <v>2151</v>
      </c>
      <c r="B8394" t="s">
        <v>2152</v>
      </c>
      <c r="C8394">
        <v>11</v>
      </c>
      <c r="D8394" t="s">
        <v>1447</v>
      </c>
      <c r="E8394" t="s">
        <v>2114</v>
      </c>
      <c r="F8394" t="s">
        <v>1806</v>
      </c>
      <c r="I8394" s="165" t="str">
        <f>IF(ISBLANK('Q 10'!$H31),"",IF('Q 10'!$H31="&lt;please select&gt;","",'Q 10'!$H31))</f>
        <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
      </c>
    </row>
    <row r="8421" spans="1:10" x14ac:dyDescent="0.3">
      <c r="A8421" t="s">
        <v>2151</v>
      </c>
      <c r="B8421" t="s">
        <v>2152</v>
      </c>
      <c r="C8421">
        <v>2</v>
      </c>
      <c r="D8421" t="s">
        <v>1447</v>
      </c>
      <c r="E8421" t="s">
        <v>2115</v>
      </c>
      <c r="F8421" t="s">
        <v>1791</v>
      </c>
      <c r="J8421" t="str">
        <f>IF(ISBLANK('Q 10'!$I22),"",IF('Q 10'!$I22="&lt;please select&gt;","",'Q 10'!$I22))</f>
        <v/>
      </c>
    </row>
    <row r="8422" spans="1:10" x14ac:dyDescent="0.3">
      <c r="A8422" t="s">
        <v>2151</v>
      </c>
      <c r="B8422" t="s">
        <v>2152</v>
      </c>
      <c r="C8422">
        <v>3</v>
      </c>
      <c r="D8422" t="s">
        <v>1447</v>
      </c>
      <c r="E8422" t="s">
        <v>2115</v>
      </c>
      <c r="F8422" t="s">
        <v>1791</v>
      </c>
      <c r="J8422" t="str">
        <f>IF(ISBLANK('Q 10'!$I23),"",IF('Q 10'!$I23="&lt;please select&gt;","",'Q 10'!$I23))</f>
        <v/>
      </c>
    </row>
    <row r="8423" spans="1:10" x14ac:dyDescent="0.3">
      <c r="A8423" t="s">
        <v>2151</v>
      </c>
      <c r="B8423" t="s">
        <v>2152</v>
      </c>
      <c r="C8423">
        <v>4</v>
      </c>
      <c r="D8423" t="s">
        <v>1447</v>
      </c>
      <c r="E8423" t="s">
        <v>2115</v>
      </c>
      <c r="F8423" t="s">
        <v>1791</v>
      </c>
      <c r="J8423" t="str">
        <f>IF(ISBLANK('Q 10'!$I24),"",IF('Q 10'!$I24="&lt;please select&gt;","",'Q 10'!$I24))</f>
        <v/>
      </c>
    </row>
    <row r="8424" spans="1:10" x14ac:dyDescent="0.3">
      <c r="A8424" t="s">
        <v>2151</v>
      </c>
      <c r="B8424" t="s">
        <v>2152</v>
      </c>
      <c r="C8424">
        <v>5</v>
      </c>
      <c r="D8424" t="s">
        <v>1447</v>
      </c>
      <c r="E8424" t="s">
        <v>2115</v>
      </c>
      <c r="F8424" t="s">
        <v>1791</v>
      </c>
      <c r="J8424" t="str">
        <f>IF(ISBLANK('Q 10'!$I25),"",IF('Q 10'!$I25="&lt;please select&gt;","",'Q 10'!$I25))</f>
        <v/>
      </c>
    </row>
    <row r="8425" spans="1:10" x14ac:dyDescent="0.3">
      <c r="A8425" t="s">
        <v>2151</v>
      </c>
      <c r="B8425" t="s">
        <v>2152</v>
      </c>
      <c r="C8425">
        <v>6</v>
      </c>
      <c r="D8425" t="s">
        <v>1447</v>
      </c>
      <c r="E8425" t="s">
        <v>2115</v>
      </c>
      <c r="F8425" t="s">
        <v>1791</v>
      </c>
      <c r="J8425" t="str">
        <f>IF(ISBLANK('Q 10'!$I26),"",IF('Q 10'!$I26="&lt;please select&gt;","",'Q 10'!$I26))</f>
        <v/>
      </c>
    </row>
    <row r="8426" spans="1:10" x14ac:dyDescent="0.3">
      <c r="A8426" t="s">
        <v>2151</v>
      </c>
      <c r="B8426" t="s">
        <v>2152</v>
      </c>
      <c r="C8426">
        <v>7</v>
      </c>
      <c r="D8426" t="s">
        <v>1447</v>
      </c>
      <c r="E8426" t="s">
        <v>2115</v>
      </c>
      <c r="F8426" t="s">
        <v>1791</v>
      </c>
      <c r="J8426" t="str">
        <f>IF(ISBLANK('Q 10'!$I27),"",IF('Q 10'!$I27="&lt;please select&gt;","",'Q 10'!$I27))</f>
        <v/>
      </c>
    </row>
    <row r="8427" spans="1:10" x14ac:dyDescent="0.3">
      <c r="A8427" t="s">
        <v>2151</v>
      </c>
      <c r="B8427" t="s">
        <v>2152</v>
      </c>
      <c r="C8427">
        <v>8</v>
      </c>
      <c r="D8427" t="s">
        <v>1447</v>
      </c>
      <c r="E8427" t="s">
        <v>2115</v>
      </c>
      <c r="F8427" t="s">
        <v>1791</v>
      </c>
      <c r="J8427" t="str">
        <f>IF(ISBLANK('Q 10'!$I28),"",IF('Q 10'!$I28="&lt;please select&gt;","",'Q 10'!$I28))</f>
        <v/>
      </c>
    </row>
    <row r="8428" spans="1:10" x14ac:dyDescent="0.3">
      <c r="A8428" t="s">
        <v>2151</v>
      </c>
      <c r="B8428" t="s">
        <v>2152</v>
      </c>
      <c r="C8428">
        <v>9</v>
      </c>
      <c r="D8428" t="s">
        <v>1447</v>
      </c>
      <c r="E8428" t="s">
        <v>2115</v>
      </c>
      <c r="F8428" t="s">
        <v>1791</v>
      </c>
      <c r="J8428" t="str">
        <f>IF(ISBLANK('Q 10'!$I29),"",IF('Q 10'!$I29="&lt;please select&gt;","",'Q 10'!$I29))</f>
        <v/>
      </c>
    </row>
    <row r="8429" spans="1:10" x14ac:dyDescent="0.3">
      <c r="A8429" t="s">
        <v>2151</v>
      </c>
      <c r="B8429" t="s">
        <v>2152</v>
      </c>
      <c r="C8429">
        <v>10</v>
      </c>
      <c r="D8429" t="s">
        <v>1447</v>
      </c>
      <c r="E8429" t="s">
        <v>2115</v>
      </c>
      <c r="F8429" t="s">
        <v>1791</v>
      </c>
      <c r="J8429" t="str">
        <f>IF(ISBLANK('Q 10'!$I30),"",IF('Q 10'!$I30="&lt;please select&gt;","",'Q 10'!$I30))</f>
        <v/>
      </c>
    </row>
    <row r="8430" spans="1:10" x14ac:dyDescent="0.3">
      <c r="A8430" t="s">
        <v>2151</v>
      </c>
      <c r="B8430" t="s">
        <v>2152</v>
      </c>
      <c r="C8430">
        <v>11</v>
      </c>
      <c r="D8430" t="s">
        <v>1447</v>
      </c>
      <c r="E8430" t="s">
        <v>2115</v>
      </c>
      <c r="F8430" t="s">
        <v>1791</v>
      </c>
      <c r="J8430" t="str">
        <f>IF(ISBLANK('Q 10'!$I31),"",IF('Q 10'!$I31="&lt;please select&gt;","",'Q 10'!$I31))</f>
        <v/>
      </c>
    </row>
    <row r="8431" spans="1:10" x14ac:dyDescent="0.3">
      <c r="A8431" t="s">
        <v>2151</v>
      </c>
      <c r="B8431" t="s">
        <v>2152</v>
      </c>
      <c r="C8431">
        <v>12</v>
      </c>
      <c r="D8431" t="s">
        <v>1447</v>
      </c>
      <c r="E8431" t="s">
        <v>2115</v>
      </c>
      <c r="F8431" t="s">
        <v>1791</v>
      </c>
      <c r="J8431" t="str">
        <f>IF(ISBLANK('Q 10'!$I32),"",IF('Q 10'!$I32="&lt;please select&gt;","",'Q 10'!$I32))</f>
        <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Fine equal to 100 EUR per unsurrendered allowance
increased by harmonised index of consumer prices
since 2013 (not releasing from obligation to
surrender allowances)</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Failure to announce true information regarding the compliance with conditions for the exclusion from the EU ETS according to Art 27a</v>
      </c>
    </row>
    <row r="8457" spans="1:10" x14ac:dyDescent="0.3">
      <c r="A8457" t="s">
        <v>2151</v>
      </c>
      <c r="B8457" t="s">
        <v>2152</v>
      </c>
      <c r="C8457">
        <v>13</v>
      </c>
      <c r="D8457" t="s">
        <v>1419</v>
      </c>
      <c r="E8457" t="s">
        <v>2116</v>
      </c>
      <c r="F8457" t="s">
        <v>1791</v>
      </c>
      <c r="J8457" t="str">
        <f>IF(ISBLANK('Q 10'!$D33),"",IF('Q 10'!$D33="&lt;please select&gt;","",'Q 10'!$D33))</f>
        <v>Failure to apply for the opening of an account in the EU Registry</v>
      </c>
    </row>
    <row r="8458" spans="1:10" x14ac:dyDescent="0.3">
      <c r="A8458" t="s">
        <v>2151</v>
      </c>
      <c r="B8458" t="s">
        <v>2152</v>
      </c>
      <c r="C8458">
        <v>14</v>
      </c>
      <c r="D8458" t="s">
        <v>1419</v>
      </c>
      <c r="E8458" t="s">
        <v>2116</v>
      </c>
      <c r="F8458" t="s">
        <v>1791</v>
      </c>
      <c r="J8458" t="str">
        <f>IF(ISBLANK('Q 10'!$D34),"",IF('Q 10'!$D34="&lt;please select&gt;","",'Q 10'!$D34))</f>
        <v>Failure to surrender or return emission allowances</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Emission Trading Act Nr. 383/2012 Coll.</v>
      </c>
    </row>
    <row r="8482" spans="1:11" x14ac:dyDescent="0.3">
      <c r="A8482" t="s">
        <v>2154</v>
      </c>
      <c r="B8482" t="s">
        <v>2155</v>
      </c>
      <c r="C8482">
        <v>1</v>
      </c>
      <c r="D8482" t="s">
        <v>1447</v>
      </c>
      <c r="E8482" t="s">
        <v>2119</v>
      </c>
      <c r="F8482" t="s">
        <v>1737</v>
      </c>
      <c r="K8482" t="str">
        <f>IF(ISBLANK('Q 10'!$C66),"",IF('Q 10'!$C66="&lt;please select&gt;","",'Q 10'!$C66))</f>
        <v>Failure to comply with the conditions of the permit</v>
      </c>
    </row>
    <row r="8483" spans="1:11" x14ac:dyDescent="0.3">
      <c r="A8483" t="s">
        <v>2154</v>
      </c>
      <c r="B8483" t="s">
        <v>2155</v>
      </c>
      <c r="C8483">
        <v>2</v>
      </c>
      <c r="D8483" t="s">
        <v>1447</v>
      </c>
      <c r="E8483" t="s">
        <v>2119</v>
      </c>
      <c r="F8483" t="s">
        <v>1737</v>
      </c>
      <c r="K8483" t="str">
        <f>IF(ISBLANK('Q 10'!$C67),"",IF('Q 10'!$C67="&lt;please select&gt;","",'Q 10'!$C67))</f>
        <v>Failure to comply with the conditions of the permit</v>
      </c>
    </row>
    <row r="8484" spans="1:11" x14ac:dyDescent="0.3">
      <c r="A8484" t="s">
        <v>2154</v>
      </c>
      <c r="B8484" t="s">
        <v>2155</v>
      </c>
      <c r="C8484">
        <v>3</v>
      </c>
      <c r="D8484" t="s">
        <v>1447</v>
      </c>
      <c r="E8484" t="s">
        <v>2119</v>
      </c>
      <c r="F8484" t="s">
        <v>1737</v>
      </c>
      <c r="K8484" t="str">
        <f>IF(ISBLANK('Q 10'!$C68),"",IF('Q 10'!$C68="&lt;please select&gt;","",'Q 10'!$C68))</f>
        <v/>
      </c>
    </row>
    <row r="8485" spans="1:11" x14ac:dyDescent="0.3">
      <c r="A8485" t="s">
        <v>2154</v>
      </c>
      <c r="B8485" t="s">
        <v>2155</v>
      </c>
      <c r="C8485">
        <v>4</v>
      </c>
      <c r="D8485" t="s">
        <v>1447</v>
      </c>
      <c r="E8485" t="s">
        <v>2119</v>
      </c>
      <c r="F8485" t="s">
        <v>1737</v>
      </c>
      <c r="K8485" t="str">
        <f>IF(ISBLANK('Q 10'!$C69),"",IF('Q 10'!$C69="&lt;please select&gt;","",'Q 10'!$C69))</f>
        <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3372139.84611446</v>
      </c>
    </row>
    <row r="8505" spans="1:11" x14ac:dyDescent="0.3">
      <c r="A8505" t="s">
        <v>2154</v>
      </c>
      <c r="B8505" t="s">
        <v>2155</v>
      </c>
      <c r="C8505">
        <v>2</v>
      </c>
      <c r="D8505" t="s">
        <v>1447</v>
      </c>
      <c r="E8505" t="s">
        <v>2120</v>
      </c>
      <c r="F8505" t="s">
        <v>1806</v>
      </c>
      <c r="I8505" s="165" t="str">
        <f>IF(ISBLANK('Q 10'!$E67),"",IF('Q 10'!$E67="&lt;please select&gt;","",'Q 10'!$E67))</f>
        <v>10413699.38665</v>
      </c>
    </row>
    <row r="8506" spans="1:11" x14ac:dyDescent="0.3">
      <c r="A8506" t="s">
        <v>2154</v>
      </c>
      <c r="B8506" t="s">
        <v>2155</v>
      </c>
      <c r="C8506">
        <v>3</v>
      </c>
      <c r="D8506" t="s">
        <v>1447</v>
      </c>
      <c r="E8506" t="s">
        <v>2120</v>
      </c>
      <c r="F8506" t="s">
        <v>1806</v>
      </c>
      <c r="I8506" s="165" t="str">
        <f>IF(ISBLANK('Q 10'!$E68),"",IF('Q 10'!$E68="&lt;please select&gt;","",'Q 10'!$E68))</f>
        <v/>
      </c>
    </row>
    <row r="8507" spans="1:11" x14ac:dyDescent="0.3">
      <c r="A8507" t="s">
        <v>2154</v>
      </c>
      <c r="B8507" t="s">
        <v>2155</v>
      </c>
      <c r="C8507">
        <v>4</v>
      </c>
      <c r="D8507" t="s">
        <v>1447</v>
      </c>
      <c r="E8507" t="s">
        <v>2120</v>
      </c>
      <c r="F8507" t="s">
        <v>1806</v>
      </c>
      <c r="I8507" s="165" t="str">
        <f>IF(ISBLANK('Q 10'!$E69),"",IF('Q 10'!$E69="&lt;please select&gt;","",'Q 10'!$E69))</f>
        <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0</v>
      </c>
    </row>
    <row r="8527" spans="1:9" x14ac:dyDescent="0.3">
      <c r="A8527" t="s">
        <v>2154</v>
      </c>
      <c r="B8527" t="s">
        <v>2155</v>
      </c>
      <c r="C8527">
        <v>2</v>
      </c>
      <c r="D8527" t="s">
        <v>1447</v>
      </c>
      <c r="E8527" t="s">
        <v>2121</v>
      </c>
      <c r="F8527" t="s">
        <v>1806</v>
      </c>
      <c r="I8527" s="165" t="str">
        <f>IF(ISBLANK('Q 10'!$F67),"",IF('Q 10'!$F67="&lt;please select&gt;","",'Q 10'!$F67))</f>
        <v>0</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Note: the fine has no legal force so far with regard to ongoing proceedings</v>
      </c>
    </row>
    <row r="8549" spans="1:10" x14ac:dyDescent="0.3">
      <c r="A8549" t="s">
        <v>2154</v>
      </c>
      <c r="B8549" t="s">
        <v>2155</v>
      </c>
      <c r="C8549">
        <v>2</v>
      </c>
      <c r="D8549" t="s">
        <v>1447</v>
      </c>
      <c r="E8549" t="s">
        <v>2122</v>
      </c>
      <c r="F8549" t="s">
        <v>1791</v>
      </c>
      <c r="J8549" t="str">
        <f>IF(ISBLANK('Q 10'!$G67),"",IF('Q 10'!$G67="&lt;please select&gt;","",'Q 10'!$G67))</f>
        <v>Note: the fine has no legal force so far with regard to ongoing proceedings</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Yes</v>
      </c>
    </row>
    <row r="8571" spans="1:11" x14ac:dyDescent="0.3">
      <c r="A8571" t="s">
        <v>2154</v>
      </c>
      <c r="B8571" t="s">
        <v>2155</v>
      </c>
      <c r="C8571">
        <v>2</v>
      </c>
      <c r="D8571" t="s">
        <v>1447</v>
      </c>
      <c r="E8571" t="s">
        <v>2123</v>
      </c>
      <c r="F8571" t="s">
        <v>1759</v>
      </c>
      <c r="K8571" t="str">
        <f>IF(ISBLANK('Q 10'!$H67),"",IF('Q 10'!$H67="&lt;please select&gt;","",'Q 10'!$H67))</f>
        <v>Yes</v>
      </c>
    </row>
    <row r="8572" spans="1:11" x14ac:dyDescent="0.3">
      <c r="A8572" t="s">
        <v>2154</v>
      </c>
      <c r="B8572" t="s">
        <v>2155</v>
      </c>
      <c r="C8572">
        <v>3</v>
      </c>
      <c r="D8572" t="s">
        <v>1447</v>
      </c>
      <c r="E8572" t="s">
        <v>2123</v>
      </c>
      <c r="F8572" t="s">
        <v>1759</v>
      </c>
      <c r="K8572" t="str">
        <f>IF(ISBLANK('Q 10'!$H68),"",IF('Q 10'!$H68="&lt;please select&gt;","",'Q 10'!$H68))</f>
        <v/>
      </c>
    </row>
    <row r="8573" spans="1:11" x14ac:dyDescent="0.3">
      <c r="A8573" t="s">
        <v>2154</v>
      </c>
      <c r="B8573" t="s">
        <v>2155</v>
      </c>
      <c r="C8573">
        <v>4</v>
      </c>
      <c r="D8573" t="s">
        <v>1447</v>
      </c>
      <c r="E8573" t="s">
        <v>2123</v>
      </c>
      <c r="F8573" t="s">
        <v>1759</v>
      </c>
      <c r="K8573" t="str">
        <f>IF(ISBLANK('Q 10'!$H69),"",IF('Q 10'!$H69="&lt;please select&gt;","",'Q 10'!$H69))</f>
        <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No</v>
      </c>
    </row>
    <row r="8593" spans="1:11" x14ac:dyDescent="0.3">
      <c r="A8593" t="s">
        <v>2154</v>
      </c>
      <c r="B8593" t="s">
        <v>2155</v>
      </c>
      <c r="C8593">
        <v>2</v>
      </c>
      <c r="D8593" t="s">
        <v>1447</v>
      </c>
      <c r="E8593" t="s">
        <v>2124</v>
      </c>
      <c r="F8593" t="s">
        <v>1759</v>
      </c>
      <c r="K8593" t="str">
        <f>IF(ISBLANK('Q 10'!$I67),"",IF('Q 10'!$I67="&lt;please select&gt;","",'Q 10'!$I67))</f>
        <v>No</v>
      </c>
    </row>
    <row r="8594" spans="1:11" x14ac:dyDescent="0.3">
      <c r="A8594" t="s">
        <v>2154</v>
      </c>
      <c r="B8594" t="s">
        <v>2155</v>
      </c>
      <c r="C8594">
        <v>3</v>
      </c>
      <c r="D8594" t="s">
        <v>1447</v>
      </c>
      <c r="E8594" t="s">
        <v>2124</v>
      </c>
      <c r="F8594" t="s">
        <v>1759</v>
      </c>
      <c r="K8594" t="str">
        <f>IF(ISBLANK('Q 10'!$I68),"",IF('Q 10'!$I68="&lt;please select&gt;","",'Q 10'!$I68))</f>
        <v/>
      </c>
    </row>
    <row r="8595" spans="1:11" x14ac:dyDescent="0.3">
      <c r="A8595" t="s">
        <v>2154</v>
      </c>
      <c r="B8595" t="s">
        <v>2155</v>
      </c>
      <c r="C8595">
        <v>4</v>
      </c>
      <c r="D8595" t="s">
        <v>1447</v>
      </c>
      <c r="E8595" t="s">
        <v>2124</v>
      </c>
      <c r="F8595" t="s">
        <v>1759</v>
      </c>
      <c r="K8595" t="str">
        <f>IF(ISBLANK('Q 10'!$I69),"",IF('Q 10'!$I69="&lt;please select&gt;","",'Q 10'!$I69))</f>
        <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No</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367</v>
      </c>
    </row>
    <row r="8667" spans="1:8" x14ac:dyDescent="0.3">
      <c r="A8667" t="s">
        <v>2158</v>
      </c>
      <c r="B8667" t="s">
        <v>2159</v>
      </c>
      <c r="C8667">
        <v>2</v>
      </c>
      <c r="D8667" t="s">
        <v>1447</v>
      </c>
      <c r="E8667" t="s">
        <v>1868</v>
      </c>
      <c r="F8667" t="s">
        <v>1741</v>
      </c>
      <c r="G8667" t="str">
        <f>IF(ISBLANK('Q 10'!$C116),"",IF('Q 10'!$C116="&lt;please select&gt;","",'Q 10'!$C116))</f>
        <v>95</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Energy Ústí nad Labem, a.s.</v>
      </c>
    </row>
    <row r="8679" spans="1:7" x14ac:dyDescent="0.3">
      <c r="A8679" t="s">
        <v>2158</v>
      </c>
      <c r="B8679" t="s">
        <v>2159</v>
      </c>
      <c r="C8679">
        <v>2</v>
      </c>
      <c r="D8679" t="s">
        <v>1447</v>
      </c>
      <c r="E8679" t="s">
        <v>2044</v>
      </c>
      <c r="F8679" t="s">
        <v>1741</v>
      </c>
      <c r="G8679" t="str">
        <f>IF(ISBLANK('Q 10'!$F116),"",IF('Q 10'!$F116="&lt;please select&gt;","",'Q 10'!$F116))</f>
        <v>Výroba a prodej tepla Příbram, a.s.</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Yes</v>
      </c>
    </row>
    <row r="8692" spans="1:11" x14ac:dyDescent="0.3">
      <c r="A8692" t="s">
        <v>2160</v>
      </c>
      <c r="B8692" t="s">
        <v>2161</v>
      </c>
      <c r="C8692">
        <v>3</v>
      </c>
      <c r="D8692" t="s">
        <v>1447</v>
      </c>
      <c r="E8692" t="s">
        <v>2148</v>
      </c>
      <c r="F8692" t="s">
        <v>1759</v>
      </c>
      <c r="K8692" t="str">
        <f>IF(ISBLANK('Q 10'!$H135),"",IF('Q 10'!$H135="&lt;please select&gt;","",'Q 10'!$H135))</f>
        <v>Yes</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In cases of insolvency /liquidation.</v>
      </c>
    </row>
    <row r="8700" spans="1:11" x14ac:dyDescent="0.3">
      <c r="A8700" t="s">
        <v>2160</v>
      </c>
      <c r="B8700" t="s">
        <v>2161</v>
      </c>
      <c r="C8700">
        <v>3</v>
      </c>
      <c r="D8700" t="s">
        <v>1447</v>
      </c>
      <c r="E8700" t="s">
        <v>2149</v>
      </c>
      <c r="F8700" t="s">
        <v>1791</v>
      </c>
      <c r="J8700" t="str">
        <f>IF(ISBLANK('Q 10'!$I135),"",IF('Q 10'!$I135="&lt;please select&gt;","",'Q 10'!$I135))</f>
        <v>Suspension of the account</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0</v>
      </c>
    </row>
    <row r="8711" spans="1:10" x14ac:dyDescent="0.3">
      <c r="A8711" t="s">
        <v>2162</v>
      </c>
      <c r="B8711" t="s">
        <v>2163</v>
      </c>
      <c r="C8711">
        <v>2</v>
      </c>
      <c r="D8711" t="s">
        <v>1447</v>
      </c>
      <c r="E8711" t="s">
        <v>2111</v>
      </c>
      <c r="F8711" t="s">
        <v>1806</v>
      </c>
      <c r="I8711" s="165" t="str">
        <f>IF(ISBLANK('Q 10'!$E148),"",IF('Q 10'!$E148="&lt;please select&gt;","",'Q 10'!$E148))</f>
        <v/>
      </c>
    </row>
    <row r="8712" spans="1:10" x14ac:dyDescent="0.3">
      <c r="A8712" t="s">
        <v>2162</v>
      </c>
      <c r="B8712" t="s">
        <v>2163</v>
      </c>
      <c r="C8712">
        <v>3</v>
      </c>
      <c r="D8712" t="s">
        <v>1447</v>
      </c>
      <c r="E8712" t="s">
        <v>2111</v>
      </c>
      <c r="F8712" t="s">
        <v>1806</v>
      </c>
      <c r="I8712" s="165" t="str">
        <f>IF(ISBLANK('Q 10'!$E149),"",IF('Q 10'!$E149="&lt;please select&gt;","",'Q 10'!$E149))</f>
        <v>0</v>
      </c>
    </row>
    <row r="8713" spans="1:10" x14ac:dyDescent="0.3">
      <c r="A8713" t="s">
        <v>2162</v>
      </c>
      <c r="B8713" t="s">
        <v>2163</v>
      </c>
      <c r="C8713">
        <v>4</v>
      </c>
      <c r="D8713" t="s">
        <v>1447</v>
      </c>
      <c r="E8713" t="s">
        <v>2111</v>
      </c>
      <c r="F8713" t="s">
        <v>1806</v>
      </c>
      <c r="I8713" s="165" t="str">
        <f>IF(ISBLANK('Q 10'!$E150),"",IF('Q 10'!$E150="&lt;please select&gt;","",'Q 10'!$E150))</f>
        <v>0</v>
      </c>
    </row>
    <row r="8714" spans="1:10" x14ac:dyDescent="0.3">
      <c r="A8714" t="s">
        <v>2162</v>
      </c>
      <c r="B8714" t="s">
        <v>2163</v>
      </c>
      <c r="C8714">
        <v>5</v>
      </c>
      <c r="D8714" t="s">
        <v>1447</v>
      </c>
      <c r="E8714" t="s">
        <v>2111</v>
      </c>
      <c r="F8714" t="s">
        <v>1806</v>
      </c>
      <c r="I8714" s="165" t="str">
        <f>IF(ISBLANK('Q 10'!$E151),"",IF('Q 10'!$E151="&lt;please select&gt;","",'Q 10'!$E151))</f>
        <v/>
      </c>
    </row>
    <row r="8715" spans="1:10" x14ac:dyDescent="0.3">
      <c r="A8715" t="s">
        <v>2162</v>
      </c>
      <c r="B8715" t="s">
        <v>2163</v>
      </c>
      <c r="C8715">
        <v>6</v>
      </c>
      <c r="D8715" t="s">
        <v>1447</v>
      </c>
      <c r="E8715" t="s">
        <v>2111</v>
      </c>
      <c r="F8715" t="s">
        <v>1806</v>
      </c>
      <c r="I8715" s="165" t="str">
        <f>IF(ISBLANK('Q 10'!$E152),"",IF('Q 10'!$E152="&lt;please select&gt;","",'Q 10'!$E152))</f>
        <v>0</v>
      </c>
    </row>
    <row r="8716" spans="1:10" x14ac:dyDescent="0.3">
      <c r="A8716" t="s">
        <v>2162</v>
      </c>
      <c r="B8716" t="s">
        <v>2163</v>
      </c>
      <c r="C8716">
        <v>7</v>
      </c>
      <c r="D8716" t="s">
        <v>1447</v>
      </c>
      <c r="E8716" t="s">
        <v>2111</v>
      </c>
      <c r="F8716" t="s">
        <v>1806</v>
      </c>
      <c r="I8716" s="165" t="str">
        <f>IF(ISBLANK('Q 10'!$E153),"",IF('Q 10'!$E153="&lt;please select&gt;","",'Q 10'!$E153))</f>
        <v/>
      </c>
    </row>
    <row r="8717" spans="1:10" x14ac:dyDescent="0.3">
      <c r="A8717" t="s">
        <v>2162</v>
      </c>
      <c r="B8717" t="s">
        <v>2163</v>
      </c>
      <c r="C8717">
        <v>8</v>
      </c>
      <c r="D8717" t="s">
        <v>1447</v>
      </c>
      <c r="E8717" t="s">
        <v>2111</v>
      </c>
      <c r="F8717" t="s">
        <v>1806</v>
      </c>
      <c r="I8717" s="165" t="str">
        <f>IF(ISBLANK('Q 10'!$E154),"",IF('Q 10'!$E154="&lt;please select&gt;","",'Q 10'!$E154))</f>
        <v/>
      </c>
    </row>
    <row r="8718" spans="1:10" x14ac:dyDescent="0.3">
      <c r="A8718" t="s">
        <v>2162</v>
      </c>
      <c r="B8718" t="s">
        <v>2163</v>
      </c>
      <c r="C8718">
        <v>9</v>
      </c>
      <c r="D8718" t="s">
        <v>1447</v>
      </c>
      <c r="E8718" t="s">
        <v>2111</v>
      </c>
      <c r="F8718" t="s">
        <v>1806</v>
      </c>
      <c r="I8718" s="165" t="str">
        <f>IF(ISBLANK('Q 10'!$E155),"",IF('Q 10'!$E155="&lt;please select&gt;","",'Q 10'!$E155))</f>
        <v/>
      </c>
    </row>
    <row r="8719" spans="1:10" x14ac:dyDescent="0.3">
      <c r="A8719" t="s">
        <v>2162</v>
      </c>
      <c r="B8719" t="s">
        <v>2163</v>
      </c>
      <c r="C8719">
        <v>10</v>
      </c>
      <c r="D8719" t="s">
        <v>1447</v>
      </c>
      <c r="E8719" t="s">
        <v>2111</v>
      </c>
      <c r="F8719" t="s">
        <v>1806</v>
      </c>
      <c r="I8719" s="165" t="str">
        <f>IF(ISBLANK('Q 10'!$E156),"",IF('Q 10'!$E156="&lt;please select&gt;","",'Q 10'!$E156))</f>
        <v/>
      </c>
    </row>
    <row r="8720" spans="1:10" x14ac:dyDescent="0.3">
      <c r="A8720" t="s">
        <v>2162</v>
      </c>
      <c r="B8720" t="s">
        <v>2163</v>
      </c>
      <c r="C8720">
        <v>11</v>
      </c>
      <c r="D8720" t="s">
        <v>1447</v>
      </c>
      <c r="E8720" t="s">
        <v>2111</v>
      </c>
      <c r="F8720" t="s">
        <v>1806</v>
      </c>
      <c r="I8720" s="165" t="str">
        <f>IF(ISBLANK('Q 10'!$E157),"",IF('Q 10'!$E157="&lt;please select&gt;","",'Q 10'!$E157))</f>
        <v/>
      </c>
    </row>
    <row r="8721" spans="1:9" x14ac:dyDescent="0.3">
      <c r="A8721" t="s">
        <v>2162</v>
      </c>
      <c r="B8721" t="s">
        <v>2163</v>
      </c>
      <c r="C8721">
        <v>12</v>
      </c>
      <c r="D8721" t="s">
        <v>1447</v>
      </c>
      <c r="E8721" t="s">
        <v>2111</v>
      </c>
      <c r="F8721" t="s">
        <v>1806</v>
      </c>
      <c r="I8721" s="165" t="str">
        <f>IF(ISBLANK('Q 10'!$E158),"",IF('Q 10'!$E158="&lt;please select&gt;","",'Q 10'!$E158))</f>
        <v>0</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800000</v>
      </c>
    </row>
    <row r="8726" spans="1:9" x14ac:dyDescent="0.3">
      <c r="A8726" t="s">
        <v>2162</v>
      </c>
      <c r="B8726" t="s">
        <v>2163</v>
      </c>
      <c r="C8726">
        <v>2</v>
      </c>
      <c r="D8726" t="s">
        <v>1447</v>
      </c>
      <c r="E8726" t="s">
        <v>2112</v>
      </c>
      <c r="F8726" t="s">
        <v>1806</v>
      </c>
      <c r="I8726" s="165" t="str">
        <f>IF(ISBLANK('Q 10'!$F148),"",IF('Q 10'!$F148="&lt;please select&gt;","",'Q 10'!$F148))</f>
        <v/>
      </c>
    </row>
    <row r="8727" spans="1:9" x14ac:dyDescent="0.3">
      <c r="A8727" t="s">
        <v>2162</v>
      </c>
      <c r="B8727" t="s">
        <v>2163</v>
      </c>
      <c r="C8727">
        <v>3</v>
      </c>
      <c r="D8727" t="s">
        <v>1447</v>
      </c>
      <c r="E8727" t="s">
        <v>2112</v>
      </c>
      <c r="F8727" t="s">
        <v>1806</v>
      </c>
      <c r="I8727" s="165" t="str">
        <f>IF(ISBLANK('Q 10'!$F149),"",IF('Q 10'!$F149="&lt;please select&gt;","",'Q 10'!$F149))</f>
        <v>800000</v>
      </c>
    </row>
    <row r="8728" spans="1:9" x14ac:dyDescent="0.3">
      <c r="A8728" t="s">
        <v>2162</v>
      </c>
      <c r="B8728" t="s">
        <v>2163</v>
      </c>
      <c r="C8728">
        <v>4</v>
      </c>
      <c r="D8728" t="s">
        <v>1447</v>
      </c>
      <c r="E8728" t="s">
        <v>2112</v>
      </c>
      <c r="F8728" t="s">
        <v>1806</v>
      </c>
      <c r="I8728" s="165" t="str">
        <f>IF(ISBLANK('Q 10'!$F150),"",IF('Q 10'!$F150="&lt;please select&gt;","",'Q 10'!$F150))</f>
        <v>20000</v>
      </c>
    </row>
    <row r="8729" spans="1:9" x14ac:dyDescent="0.3">
      <c r="A8729" t="s">
        <v>2162</v>
      </c>
      <c r="B8729" t="s">
        <v>2163</v>
      </c>
      <c r="C8729">
        <v>5</v>
      </c>
      <c r="D8729" t="s">
        <v>1447</v>
      </c>
      <c r="E8729" t="s">
        <v>2112</v>
      </c>
      <c r="F8729" t="s">
        <v>1806</v>
      </c>
      <c r="I8729" s="165" t="str">
        <f>IF(ISBLANK('Q 10'!$F151),"",IF('Q 10'!$F151="&lt;please select&gt;","",'Q 10'!$F151))</f>
        <v/>
      </c>
    </row>
    <row r="8730" spans="1:9" x14ac:dyDescent="0.3">
      <c r="A8730" t="s">
        <v>2162</v>
      </c>
      <c r="B8730" t="s">
        <v>2163</v>
      </c>
      <c r="C8730">
        <v>6</v>
      </c>
      <c r="D8730" t="s">
        <v>1447</v>
      </c>
      <c r="E8730" t="s">
        <v>2112</v>
      </c>
      <c r="F8730" t="s">
        <v>1806</v>
      </c>
      <c r="I8730" s="165" t="str">
        <f>IF(ISBLANK('Q 10'!$F152),"",IF('Q 10'!$F152="&lt;please select&gt;","",'Q 10'!$F152))</f>
        <v>20000</v>
      </c>
    </row>
    <row r="8731" spans="1:9" x14ac:dyDescent="0.3">
      <c r="A8731" t="s">
        <v>2162</v>
      </c>
      <c r="B8731" t="s">
        <v>2163</v>
      </c>
      <c r="C8731">
        <v>7</v>
      </c>
      <c r="D8731" t="s">
        <v>1447</v>
      </c>
      <c r="E8731" t="s">
        <v>2112</v>
      </c>
      <c r="F8731" t="s">
        <v>1806</v>
      </c>
      <c r="I8731" s="165" t="str">
        <f>IF(ISBLANK('Q 10'!$F153),"",IF('Q 10'!$F153="&lt;please select&gt;","",'Q 10'!$F153))</f>
        <v/>
      </c>
    </row>
    <row r="8732" spans="1:9" x14ac:dyDescent="0.3">
      <c r="A8732" t="s">
        <v>2162</v>
      </c>
      <c r="B8732" t="s">
        <v>2163</v>
      </c>
      <c r="C8732">
        <v>8</v>
      </c>
      <c r="D8732" t="s">
        <v>1447</v>
      </c>
      <c r="E8732" t="s">
        <v>2112</v>
      </c>
      <c r="F8732" t="s">
        <v>1806</v>
      </c>
      <c r="I8732" s="165" t="str">
        <f>IF(ISBLANK('Q 10'!$F154),"",IF('Q 10'!$F154="&lt;please select&gt;","",'Q 10'!$F154))</f>
        <v/>
      </c>
    </row>
    <row r="8733" spans="1:9" x14ac:dyDescent="0.3">
      <c r="A8733" t="s">
        <v>2162</v>
      </c>
      <c r="B8733" t="s">
        <v>2163</v>
      </c>
      <c r="C8733">
        <v>9</v>
      </c>
      <c r="D8733" t="s">
        <v>1447</v>
      </c>
      <c r="E8733" t="s">
        <v>2112</v>
      </c>
      <c r="F8733" t="s">
        <v>1806</v>
      </c>
      <c r="I8733" s="165" t="str">
        <f>IF(ISBLANK('Q 10'!$F155),"",IF('Q 10'!$F155="&lt;please select&gt;","",'Q 10'!$F155))</f>
        <v>800000</v>
      </c>
    </row>
    <row r="8734" spans="1:9" x14ac:dyDescent="0.3">
      <c r="A8734" t="s">
        <v>2162</v>
      </c>
      <c r="B8734" t="s">
        <v>2163</v>
      </c>
      <c r="C8734">
        <v>10</v>
      </c>
      <c r="D8734" t="s">
        <v>1447</v>
      </c>
      <c r="E8734" t="s">
        <v>2112</v>
      </c>
      <c r="F8734" t="s">
        <v>1806</v>
      </c>
      <c r="I8734" s="165" t="str">
        <f>IF(ISBLANK('Q 10'!$F156),"",IF('Q 10'!$F156="&lt;please select&gt;","",'Q 10'!$F156))</f>
        <v/>
      </c>
    </row>
    <row r="8735" spans="1:9" x14ac:dyDescent="0.3">
      <c r="A8735" t="s">
        <v>2162</v>
      </c>
      <c r="B8735" t="s">
        <v>2163</v>
      </c>
      <c r="C8735">
        <v>11</v>
      </c>
      <c r="D8735" t="s">
        <v>1447</v>
      </c>
      <c r="E8735" t="s">
        <v>2112</v>
      </c>
      <c r="F8735" t="s">
        <v>1806</v>
      </c>
      <c r="I8735" s="165" t="str">
        <f>IF(ISBLANK('Q 10'!$F157),"",IF('Q 10'!$F157="&lt;please select&gt;","",'Q 10'!$F157))</f>
        <v/>
      </c>
    </row>
    <row r="8736" spans="1:9" x14ac:dyDescent="0.3">
      <c r="A8736" t="s">
        <v>2162</v>
      </c>
      <c r="B8736" t="s">
        <v>2163</v>
      </c>
      <c r="C8736">
        <v>12</v>
      </c>
      <c r="D8736" t="s">
        <v>1447</v>
      </c>
      <c r="E8736" t="s">
        <v>2112</v>
      </c>
      <c r="F8736" t="s">
        <v>1806</v>
      </c>
      <c r="I8736" s="165" t="str">
        <f>IF(ISBLANK('Q 10'!$F158),"",IF('Q 10'!$F158="&lt;please select&gt;","",'Q 10'!$F158))</f>
        <v>4000</v>
      </c>
    </row>
    <row r="8737" spans="1:9" x14ac:dyDescent="0.3">
      <c r="A8737" t="s">
        <v>2162</v>
      </c>
      <c r="B8737" t="s">
        <v>2163</v>
      </c>
      <c r="C8737">
        <v>13</v>
      </c>
      <c r="D8737" t="s">
        <v>1447</v>
      </c>
      <c r="E8737" t="s">
        <v>2112</v>
      </c>
      <c r="F8737" t="s">
        <v>1806</v>
      </c>
      <c r="I8737" s="165" t="str">
        <f>IF(ISBLANK('Q 10'!$F159),"",IF('Q 10'!$F159="&lt;please select&gt;","",'Q 10'!$F159))</f>
        <v>100</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
      </c>
    </row>
    <row r="8741" spans="1:9" x14ac:dyDescent="0.3">
      <c r="A8741" t="s">
        <v>2162</v>
      </c>
      <c r="B8741" t="s">
        <v>2163</v>
      </c>
      <c r="C8741">
        <v>2</v>
      </c>
      <c r="D8741" t="s">
        <v>1447</v>
      </c>
      <c r="E8741" t="s">
        <v>2113</v>
      </c>
      <c r="F8741" t="s">
        <v>1806</v>
      </c>
      <c r="I8741" s="165" t="str">
        <f>IF(ISBLANK('Q 10'!$G148),"",IF('Q 10'!$G148="&lt;please select&gt;","",'Q 10'!$G148))</f>
        <v/>
      </c>
    </row>
    <row r="8742" spans="1:9" x14ac:dyDescent="0.3">
      <c r="A8742" t="s">
        <v>2162</v>
      </c>
      <c r="B8742" t="s">
        <v>2163</v>
      </c>
      <c r="C8742">
        <v>3</v>
      </c>
      <c r="D8742" t="s">
        <v>1447</v>
      </c>
      <c r="E8742" t="s">
        <v>2113</v>
      </c>
      <c r="F8742" t="s">
        <v>1806</v>
      </c>
      <c r="I8742" s="165" t="str">
        <f>IF(ISBLANK('Q 10'!$G149),"",IF('Q 10'!$G149="&lt;please select&gt;","",'Q 10'!$G149))</f>
        <v/>
      </c>
    </row>
    <row r="8743" spans="1:9" x14ac:dyDescent="0.3">
      <c r="A8743" t="s">
        <v>2162</v>
      </c>
      <c r="B8743" t="s">
        <v>2163</v>
      </c>
      <c r="C8743">
        <v>4</v>
      </c>
      <c r="D8743" t="s">
        <v>1447</v>
      </c>
      <c r="E8743" t="s">
        <v>2113</v>
      </c>
      <c r="F8743" t="s">
        <v>1806</v>
      </c>
      <c r="I8743" s="165" t="str">
        <f>IF(ISBLANK('Q 10'!$G150),"",IF('Q 10'!$G150="&lt;please select&gt;","",'Q 10'!$G150))</f>
        <v/>
      </c>
    </row>
    <row r="8744" spans="1:9" x14ac:dyDescent="0.3">
      <c r="A8744" t="s">
        <v>2162</v>
      </c>
      <c r="B8744" t="s">
        <v>2163</v>
      </c>
      <c r="C8744">
        <v>5</v>
      </c>
      <c r="D8744" t="s">
        <v>1447</v>
      </c>
      <c r="E8744" t="s">
        <v>2113</v>
      </c>
      <c r="F8744" t="s">
        <v>1806</v>
      </c>
      <c r="I8744" s="165" t="str">
        <f>IF(ISBLANK('Q 10'!$G151),"",IF('Q 10'!$G151="&lt;please select&gt;","",'Q 10'!$G151))</f>
        <v/>
      </c>
    </row>
    <row r="8745" spans="1:9" x14ac:dyDescent="0.3">
      <c r="A8745" t="s">
        <v>2162</v>
      </c>
      <c r="B8745" t="s">
        <v>2163</v>
      </c>
      <c r="C8745">
        <v>6</v>
      </c>
      <c r="D8745" t="s">
        <v>1447</v>
      </c>
      <c r="E8745" t="s">
        <v>2113</v>
      </c>
      <c r="F8745" t="s">
        <v>1806</v>
      </c>
      <c r="I8745" s="165" t="str">
        <f>IF(ISBLANK('Q 10'!$G152),"",IF('Q 10'!$G152="&lt;please select&gt;","",'Q 10'!$G152))</f>
        <v/>
      </c>
    </row>
    <row r="8746" spans="1:9" x14ac:dyDescent="0.3">
      <c r="A8746" t="s">
        <v>2162</v>
      </c>
      <c r="B8746" t="s">
        <v>2163</v>
      </c>
      <c r="C8746">
        <v>7</v>
      </c>
      <c r="D8746" t="s">
        <v>1447</v>
      </c>
      <c r="E8746" t="s">
        <v>2113</v>
      </c>
      <c r="F8746" t="s">
        <v>1806</v>
      </c>
      <c r="I8746" s="165" t="str">
        <f>IF(ISBLANK('Q 10'!$G153),"",IF('Q 10'!$G153="&lt;please select&gt;","",'Q 10'!$G153))</f>
        <v/>
      </c>
    </row>
    <row r="8747" spans="1:9" x14ac:dyDescent="0.3">
      <c r="A8747" t="s">
        <v>2162</v>
      </c>
      <c r="B8747" t="s">
        <v>2163</v>
      </c>
      <c r="C8747">
        <v>8</v>
      </c>
      <c r="D8747" t="s">
        <v>1447</v>
      </c>
      <c r="E8747" t="s">
        <v>2113</v>
      </c>
      <c r="F8747" t="s">
        <v>1806</v>
      </c>
      <c r="I8747" s="165" t="str">
        <f>IF(ISBLANK('Q 10'!$G154),"",IF('Q 10'!$G154="&lt;please select&gt;","",'Q 10'!$G154))</f>
        <v/>
      </c>
    </row>
    <row r="8748" spans="1:9" x14ac:dyDescent="0.3">
      <c r="A8748" t="s">
        <v>2162</v>
      </c>
      <c r="B8748" t="s">
        <v>2163</v>
      </c>
      <c r="C8748">
        <v>9</v>
      </c>
      <c r="D8748" t="s">
        <v>1447</v>
      </c>
      <c r="E8748" t="s">
        <v>2113</v>
      </c>
      <c r="F8748" t="s">
        <v>1806</v>
      </c>
      <c r="I8748" s="165" t="str">
        <f>IF(ISBLANK('Q 10'!$G155),"",IF('Q 10'!$G155="&lt;please select&gt;","",'Q 10'!$G155))</f>
        <v/>
      </c>
    </row>
    <row r="8749" spans="1:9" x14ac:dyDescent="0.3">
      <c r="A8749" t="s">
        <v>2162</v>
      </c>
      <c r="B8749" t="s">
        <v>2163</v>
      </c>
      <c r="C8749">
        <v>10</v>
      </c>
      <c r="D8749" t="s">
        <v>1447</v>
      </c>
      <c r="E8749" t="s">
        <v>2113</v>
      </c>
      <c r="F8749" t="s">
        <v>1806</v>
      </c>
      <c r="I8749" s="165" t="str">
        <f>IF(ISBLANK('Q 10'!$G156),"",IF('Q 10'!$G156="&lt;please select&gt;","",'Q 10'!$G156))</f>
        <v/>
      </c>
    </row>
    <row r="8750" spans="1:9" x14ac:dyDescent="0.3">
      <c r="A8750" t="s">
        <v>2162</v>
      </c>
      <c r="B8750" t="s">
        <v>2163</v>
      </c>
      <c r="C8750">
        <v>11</v>
      </c>
      <c r="D8750" t="s">
        <v>1447</v>
      </c>
      <c r="E8750" t="s">
        <v>2113</v>
      </c>
      <c r="F8750" t="s">
        <v>1806</v>
      </c>
      <c r="I8750" s="165" t="str">
        <f>IF(ISBLANK('Q 10'!$G157),"",IF('Q 10'!$G157="&lt;please select&gt;","",'Q 10'!$G157))</f>
        <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
      </c>
    </row>
    <row r="8756" spans="1:9" x14ac:dyDescent="0.3">
      <c r="A8756" t="s">
        <v>2162</v>
      </c>
      <c r="B8756" t="s">
        <v>2163</v>
      </c>
      <c r="C8756">
        <v>2</v>
      </c>
      <c r="D8756" t="s">
        <v>1447</v>
      </c>
      <c r="E8756" t="s">
        <v>2114</v>
      </c>
      <c r="F8756" t="s">
        <v>1806</v>
      </c>
      <c r="I8756" s="165" t="str">
        <f>IF(ISBLANK('Q 10'!$H148),"",IF('Q 10'!$H148="&lt;please select&gt;","",'Q 10'!$H148))</f>
        <v/>
      </c>
    </row>
    <row r="8757" spans="1:9" x14ac:dyDescent="0.3">
      <c r="A8757" t="s">
        <v>2162</v>
      </c>
      <c r="B8757" t="s">
        <v>2163</v>
      </c>
      <c r="C8757">
        <v>3</v>
      </c>
      <c r="D8757" t="s">
        <v>1447</v>
      </c>
      <c r="E8757" t="s">
        <v>2114</v>
      </c>
      <c r="F8757" t="s">
        <v>1806</v>
      </c>
      <c r="I8757" s="165" t="str">
        <f>IF(ISBLANK('Q 10'!$H149),"",IF('Q 10'!$H149="&lt;please select&gt;","",'Q 10'!$H149))</f>
        <v/>
      </c>
    </row>
    <row r="8758" spans="1:9" x14ac:dyDescent="0.3">
      <c r="A8758" t="s">
        <v>2162</v>
      </c>
      <c r="B8758" t="s">
        <v>2163</v>
      </c>
      <c r="C8758">
        <v>4</v>
      </c>
      <c r="D8758" t="s">
        <v>1447</v>
      </c>
      <c r="E8758" t="s">
        <v>2114</v>
      </c>
      <c r="F8758" t="s">
        <v>1806</v>
      </c>
      <c r="I8758" s="165" t="str">
        <f>IF(ISBLANK('Q 10'!$H150),"",IF('Q 10'!$H150="&lt;please select&gt;","",'Q 10'!$H150))</f>
        <v/>
      </c>
    </row>
    <row r="8759" spans="1:9" x14ac:dyDescent="0.3">
      <c r="A8759" t="s">
        <v>2162</v>
      </c>
      <c r="B8759" t="s">
        <v>2163</v>
      </c>
      <c r="C8759">
        <v>5</v>
      </c>
      <c r="D8759" t="s">
        <v>1447</v>
      </c>
      <c r="E8759" t="s">
        <v>2114</v>
      </c>
      <c r="F8759" t="s">
        <v>1806</v>
      </c>
      <c r="I8759" s="165" t="str">
        <f>IF(ISBLANK('Q 10'!$H151),"",IF('Q 10'!$H151="&lt;please select&gt;","",'Q 10'!$H151))</f>
        <v/>
      </c>
    </row>
    <row r="8760" spans="1:9" x14ac:dyDescent="0.3">
      <c r="A8760" t="s">
        <v>2162</v>
      </c>
      <c r="B8760" t="s">
        <v>2163</v>
      </c>
      <c r="C8760">
        <v>6</v>
      </c>
      <c r="D8760" t="s">
        <v>1447</v>
      </c>
      <c r="E8760" t="s">
        <v>2114</v>
      </c>
      <c r="F8760" t="s">
        <v>1806</v>
      </c>
      <c r="I8760" s="165" t="str">
        <f>IF(ISBLANK('Q 10'!$H152),"",IF('Q 10'!$H152="&lt;please select&gt;","",'Q 10'!$H152))</f>
        <v/>
      </c>
    </row>
    <row r="8761" spans="1:9" x14ac:dyDescent="0.3">
      <c r="A8761" t="s">
        <v>2162</v>
      </c>
      <c r="B8761" t="s">
        <v>2163</v>
      </c>
      <c r="C8761">
        <v>7</v>
      </c>
      <c r="D8761" t="s">
        <v>1447</v>
      </c>
      <c r="E8761" t="s">
        <v>2114</v>
      </c>
      <c r="F8761" t="s">
        <v>1806</v>
      </c>
      <c r="I8761" s="165" t="str">
        <f>IF(ISBLANK('Q 10'!$H153),"",IF('Q 10'!$H153="&lt;please select&gt;","",'Q 10'!$H153))</f>
        <v/>
      </c>
    </row>
    <row r="8762" spans="1:9" x14ac:dyDescent="0.3">
      <c r="A8762" t="s">
        <v>2162</v>
      </c>
      <c r="B8762" t="s">
        <v>2163</v>
      </c>
      <c r="C8762">
        <v>8</v>
      </c>
      <c r="D8762" t="s">
        <v>1447</v>
      </c>
      <c r="E8762" t="s">
        <v>2114</v>
      </c>
      <c r="F8762" t="s">
        <v>1806</v>
      </c>
      <c r="I8762" s="165" t="str">
        <f>IF(ISBLANK('Q 10'!$H154),"",IF('Q 10'!$H154="&lt;please select&gt;","",'Q 10'!$H154))</f>
        <v/>
      </c>
    </row>
    <row r="8763" spans="1:9" x14ac:dyDescent="0.3">
      <c r="A8763" t="s">
        <v>2162</v>
      </c>
      <c r="B8763" t="s">
        <v>2163</v>
      </c>
      <c r="C8763">
        <v>9</v>
      </c>
      <c r="D8763" t="s">
        <v>1447</v>
      </c>
      <c r="E8763" t="s">
        <v>2114</v>
      </c>
      <c r="F8763" t="s">
        <v>1806</v>
      </c>
      <c r="I8763" s="165" t="str">
        <f>IF(ISBLANK('Q 10'!$H155),"",IF('Q 10'!$H155="&lt;please select&gt;","",'Q 10'!$H155))</f>
        <v/>
      </c>
    </row>
    <row r="8764" spans="1:9" x14ac:dyDescent="0.3">
      <c r="A8764" t="s">
        <v>2162</v>
      </c>
      <c r="B8764" t="s">
        <v>2163</v>
      </c>
      <c r="C8764">
        <v>10</v>
      </c>
      <c r="D8764" t="s">
        <v>1447</v>
      </c>
      <c r="E8764" t="s">
        <v>2114</v>
      </c>
      <c r="F8764" t="s">
        <v>1806</v>
      </c>
      <c r="I8764" s="165" t="str">
        <f>IF(ISBLANK('Q 10'!$H156),"",IF('Q 10'!$H156="&lt;please select&gt;","",'Q 10'!$H156))</f>
        <v/>
      </c>
    </row>
    <row r="8765" spans="1:9" x14ac:dyDescent="0.3">
      <c r="A8765" t="s">
        <v>2162</v>
      </c>
      <c r="B8765" t="s">
        <v>2163</v>
      </c>
      <c r="C8765">
        <v>11</v>
      </c>
      <c r="D8765" t="s">
        <v>1447</v>
      </c>
      <c r="E8765" t="s">
        <v>2114</v>
      </c>
      <c r="F8765" t="s">
        <v>1806</v>
      </c>
      <c r="I8765" s="165" t="str">
        <f>IF(ISBLANK('Q 10'!$H157),"",IF('Q 10'!$H157="&lt;please select&gt;","",'Q 10'!$H157))</f>
        <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
      </c>
    </row>
    <row r="8771" spans="1:10" x14ac:dyDescent="0.3">
      <c r="A8771" t="s">
        <v>2162</v>
      </c>
      <c r="B8771" t="s">
        <v>2163</v>
      </c>
      <c r="C8771">
        <v>2</v>
      </c>
      <c r="D8771" t="s">
        <v>1447</v>
      </c>
      <c r="E8771" t="s">
        <v>2115</v>
      </c>
      <c r="F8771" t="s">
        <v>1791</v>
      </c>
      <c r="J8771" t="str">
        <f>IF(ISBLANK('Q 10'!$I148),"",IF('Q 10'!$I148="&lt;please select&gt;","",'Q 10'!$I148))</f>
        <v/>
      </c>
    </row>
    <row r="8772" spans="1:10" x14ac:dyDescent="0.3">
      <c r="A8772" t="s">
        <v>2162</v>
      </c>
      <c r="B8772" t="s">
        <v>2163</v>
      </c>
      <c r="C8772">
        <v>3</v>
      </c>
      <c r="D8772" t="s">
        <v>1447</v>
      </c>
      <c r="E8772" t="s">
        <v>2115</v>
      </c>
      <c r="F8772" t="s">
        <v>1791</v>
      </c>
      <c r="J8772" t="str">
        <f>IF(ISBLANK('Q 10'!$I149),"",IF('Q 10'!$I149="&lt;please select&gt;","",'Q 10'!$I149))</f>
        <v/>
      </c>
    </row>
    <row r="8773" spans="1:10" x14ac:dyDescent="0.3">
      <c r="A8773" t="s">
        <v>2162</v>
      </c>
      <c r="B8773" t="s">
        <v>2163</v>
      </c>
      <c r="C8773">
        <v>4</v>
      </c>
      <c r="D8773" t="s">
        <v>1447</v>
      </c>
      <c r="E8773" t="s">
        <v>2115</v>
      </c>
      <c r="F8773" t="s">
        <v>1791</v>
      </c>
      <c r="J8773" t="str">
        <f>IF(ISBLANK('Q 10'!$I150),"",IF('Q 10'!$I150="&lt;please select&gt;","",'Q 10'!$I150))</f>
        <v/>
      </c>
    </row>
    <row r="8774" spans="1:10" x14ac:dyDescent="0.3">
      <c r="A8774" t="s">
        <v>2162</v>
      </c>
      <c r="B8774" t="s">
        <v>2163</v>
      </c>
      <c r="C8774">
        <v>5</v>
      </c>
      <c r="D8774" t="s">
        <v>1447</v>
      </c>
      <c r="E8774" t="s">
        <v>2115</v>
      </c>
      <c r="F8774" t="s">
        <v>1791</v>
      </c>
      <c r="J8774" t="str">
        <f>IF(ISBLANK('Q 10'!$I151),"",IF('Q 10'!$I151="&lt;please select&gt;","",'Q 10'!$I151))</f>
        <v/>
      </c>
    </row>
    <row r="8775" spans="1:10" x14ac:dyDescent="0.3">
      <c r="A8775" t="s">
        <v>2162</v>
      </c>
      <c r="B8775" t="s">
        <v>2163</v>
      </c>
      <c r="C8775">
        <v>6</v>
      </c>
      <c r="D8775" t="s">
        <v>1447</v>
      </c>
      <c r="E8775" t="s">
        <v>2115</v>
      </c>
      <c r="F8775" t="s">
        <v>1791</v>
      </c>
      <c r="J8775" t="str">
        <f>IF(ISBLANK('Q 10'!$I152),"",IF('Q 10'!$I152="&lt;please select&gt;","",'Q 10'!$I152))</f>
        <v/>
      </c>
    </row>
    <row r="8776" spans="1:10" x14ac:dyDescent="0.3">
      <c r="A8776" t="s">
        <v>2162</v>
      </c>
      <c r="B8776" t="s">
        <v>2163</v>
      </c>
      <c r="C8776">
        <v>7</v>
      </c>
      <c r="D8776" t="s">
        <v>1447</v>
      </c>
      <c r="E8776" t="s">
        <v>2115</v>
      </c>
      <c r="F8776" t="s">
        <v>1791</v>
      </c>
      <c r="J8776" t="str">
        <f>IF(ISBLANK('Q 10'!$I153),"",IF('Q 10'!$I153="&lt;please select&gt;","",'Q 10'!$I153))</f>
        <v/>
      </c>
    </row>
    <row r="8777" spans="1:10" x14ac:dyDescent="0.3">
      <c r="A8777" t="s">
        <v>2162</v>
      </c>
      <c r="B8777" t="s">
        <v>2163</v>
      </c>
      <c r="C8777">
        <v>8</v>
      </c>
      <c r="D8777" t="s">
        <v>1447</v>
      </c>
      <c r="E8777" t="s">
        <v>2115</v>
      </c>
      <c r="F8777" t="s">
        <v>1791</v>
      </c>
      <c r="J8777" t="str">
        <f>IF(ISBLANK('Q 10'!$I154),"",IF('Q 10'!$I154="&lt;please select&gt;","",'Q 10'!$I154))</f>
        <v/>
      </c>
    </row>
    <row r="8778" spans="1:10" x14ac:dyDescent="0.3">
      <c r="A8778" t="s">
        <v>2162</v>
      </c>
      <c r="B8778" t="s">
        <v>2163</v>
      </c>
      <c r="C8778">
        <v>9</v>
      </c>
      <c r="D8778" t="s">
        <v>1447</v>
      </c>
      <c r="E8778" t="s">
        <v>2115</v>
      </c>
      <c r="F8778" t="s">
        <v>1791</v>
      </c>
      <c r="J8778" t="str">
        <f>IF(ISBLANK('Q 10'!$I155),"",IF('Q 10'!$I155="&lt;please select&gt;","",'Q 10'!$I155))</f>
        <v/>
      </c>
    </row>
    <row r="8779" spans="1:10" x14ac:dyDescent="0.3">
      <c r="A8779" t="s">
        <v>2162</v>
      </c>
      <c r="B8779" t="s">
        <v>2163</v>
      </c>
      <c r="C8779">
        <v>10</v>
      </c>
      <c r="D8779" t="s">
        <v>1447</v>
      </c>
      <c r="E8779" t="s">
        <v>2115</v>
      </c>
      <c r="F8779" t="s">
        <v>1791</v>
      </c>
      <c r="J8779" t="str">
        <f>IF(ISBLANK('Q 10'!$I156),"",IF('Q 10'!$I156="&lt;please select&gt;","",'Q 10'!$I156))</f>
        <v/>
      </c>
    </row>
    <row r="8780" spans="1:10" x14ac:dyDescent="0.3">
      <c r="A8780" t="s">
        <v>2162</v>
      </c>
      <c r="B8780" t="s">
        <v>2163</v>
      </c>
      <c r="C8780">
        <v>11</v>
      </c>
      <c r="D8780" t="s">
        <v>1447</v>
      </c>
      <c r="E8780" t="s">
        <v>2115</v>
      </c>
      <c r="F8780" t="s">
        <v>1791</v>
      </c>
      <c r="J8780" t="str">
        <f>IF(ISBLANK('Q 10'!$I157),"",IF('Q 10'!$I157="&lt;please select&gt;","",'Q 10'!$I157))</f>
        <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Fine equal to 100 EUR per unsurrendered allowance
increased by harmonised index of consumer prices
since 2013 (not releasing from obligation to
surrender allowances)</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Failure to apply for the opening of an account in the EU Registry</v>
      </c>
    </row>
    <row r="8786" spans="1:11" x14ac:dyDescent="0.3">
      <c r="A8786" t="s">
        <v>2162</v>
      </c>
      <c r="B8786" t="s">
        <v>2163</v>
      </c>
      <c r="C8786">
        <v>13</v>
      </c>
      <c r="D8786" t="s">
        <v>1419</v>
      </c>
      <c r="E8786" t="s">
        <v>2116</v>
      </c>
      <c r="F8786" t="s">
        <v>1791</v>
      </c>
      <c r="J8786" t="str">
        <f>IF(ISBLANK('Q 10'!$D159),"",IF('Q 10'!$D159="&lt;please select&gt;","",'Q 10'!$D159))</f>
        <v>Failure to surrender or return emission allowances</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Emission Trading Act Nr. 383/2012 Coll.</v>
      </c>
    </row>
    <row r="8790" spans="1:11" x14ac:dyDescent="0.3">
      <c r="A8790" t="s">
        <v>2165</v>
      </c>
      <c r="B8790" t="s">
        <v>2166</v>
      </c>
      <c r="C8790">
        <v>1</v>
      </c>
      <c r="D8790" t="s">
        <v>1447</v>
      </c>
      <c r="E8790" t="s">
        <v>2119</v>
      </c>
      <c r="F8790" t="s">
        <v>1737</v>
      </c>
      <c r="K8790" t="str">
        <f>IF(ISBLANK('Q 10'!$C171),"",IF('Q 10'!$C171="&lt;please select&gt;","",'Q 10'!$C171))</f>
        <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No</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No special measures are in place. A request for an operating ban would follow if sanctions would not lead to compliance.</v>
      </c>
    </row>
    <row r="8918" spans="1:11" x14ac:dyDescent="0.3">
      <c r="A8918" t="s">
        <v>2174</v>
      </c>
      <c r="B8918" t="s">
        <v>2175</v>
      </c>
      <c r="C8918">
        <v>0</v>
      </c>
      <c r="D8918" t="s">
        <v>1447</v>
      </c>
      <c r="E8918" t="s">
        <v>2175</v>
      </c>
      <c r="F8918" t="s">
        <v>1741</v>
      </c>
      <c r="G8918" t="str">
        <f>IF(ISBLANK('Q 11'!$C$6),"",IF('Q 11'!$C$6="&lt;please select&gt;","",'Q 11'!$C$6))</f>
        <v>Allowance is defined as an "other asset value corresponding to installation operator's or aircraft operator's entitlement to
discharge the equivalent of a tonne of CO2 into the atmosphere" (Act No. 383/2012 Coll., on Conditions for Emission
Allowances Trading)</v>
      </c>
    </row>
    <row r="8919" spans="1:11" x14ac:dyDescent="0.3">
      <c r="A8919" t="s">
        <v>2176</v>
      </c>
      <c r="B8919" t="s">
        <v>2177</v>
      </c>
      <c r="C8919">
        <v>0</v>
      </c>
      <c r="D8919" t="s">
        <v>1447</v>
      </c>
      <c r="E8919" t="s">
        <v>2177</v>
      </c>
      <c r="F8919" t="s">
        <v>1741</v>
      </c>
      <c r="G8919" t="str">
        <f>IF(ISBLANK('Q 11'!$C$9),"",IF('Q 11'!$C$9="&lt;please select&gt;","",'Q 11'!$C$9))</f>
        <v>Intangible assets (B.I.6 Other long run intangible assets)</v>
      </c>
    </row>
    <row r="8920" spans="1:11" x14ac:dyDescent="0.3">
      <c r="A8920" t="s">
        <v>2178</v>
      </c>
      <c r="B8920" t="s">
        <v>2179</v>
      </c>
      <c r="C8920">
        <v>0</v>
      </c>
      <c r="D8920" t="s">
        <v>1447</v>
      </c>
      <c r="E8920" t="s">
        <v>2179</v>
      </c>
      <c r="F8920" t="s">
        <v>1759</v>
      </c>
      <c r="K8920" t="str">
        <f>IF(ISBLANK('Q 11'!$I$11),"",IF('Q 11'!$I$11="&lt;please select&gt;","",'Q 11'!$I$11))</f>
        <v>No</v>
      </c>
    </row>
    <row r="8921" spans="1:11" x14ac:dyDescent="0.3">
      <c r="A8921" t="s">
        <v>2178</v>
      </c>
      <c r="B8921" t="s">
        <v>2180</v>
      </c>
      <c r="C8921">
        <v>0</v>
      </c>
      <c r="D8921" t="s">
        <v>1447</v>
      </c>
      <c r="E8921" t="s">
        <v>2180</v>
      </c>
      <c r="F8921" t="s">
        <v>1759</v>
      </c>
      <c r="K8921" t="str">
        <f>IF(ISBLANK('Q 11'!$I$13),"",IF('Q 11'!$I$13="&lt;please select&gt;","",'Q 11'!$I$13))</f>
        <v>Yes</v>
      </c>
    </row>
    <row r="8922" spans="1:11" x14ac:dyDescent="0.3">
      <c r="A8922" t="s">
        <v>2181</v>
      </c>
      <c r="B8922" t="s">
        <v>2182</v>
      </c>
      <c r="C8922">
        <v>0</v>
      </c>
      <c r="D8922" t="s">
        <v>1447</v>
      </c>
      <c r="E8922" t="s">
        <v>2182</v>
      </c>
      <c r="F8922" t="s">
        <v>1759</v>
      </c>
      <c r="K8922" t="str">
        <f>IF(ISBLANK('Q 11'!$I$15),"",IF('Q 11'!$I$15="&lt;please select&gt;","",'Q 11'!$I$15))</f>
        <v>Yes</v>
      </c>
    </row>
    <row r="8923" spans="1:11" x14ac:dyDescent="0.3">
      <c r="A8923" t="s">
        <v>2181</v>
      </c>
      <c r="B8923" t="s">
        <v>2183</v>
      </c>
      <c r="C8923">
        <v>1</v>
      </c>
      <c r="D8923" t="s">
        <v>1447</v>
      </c>
      <c r="E8923" t="s">
        <v>2184</v>
      </c>
      <c r="F8923" t="s">
        <v>1741</v>
      </c>
      <c r="G8923" t="str">
        <f>IF(ISBLANK('Q 11'!$C18),"",IF('Q 11'!$C18="&lt;please select&gt;","",'Q 11'!$C18))</f>
        <v>VAT</v>
      </c>
    </row>
    <row r="8924" spans="1:11" x14ac:dyDescent="0.3">
      <c r="A8924" t="s">
        <v>2181</v>
      </c>
      <c r="B8924" t="s">
        <v>2183</v>
      </c>
      <c r="C8924">
        <v>2</v>
      </c>
      <c r="D8924" t="s">
        <v>1447</v>
      </c>
      <c r="E8924" t="s">
        <v>2184</v>
      </c>
      <c r="F8924" t="s">
        <v>1741</v>
      </c>
      <c r="G8924" t="str">
        <f>IF(ISBLANK('Q 11'!$C19),"",IF('Q 11'!$C19="&lt;please select&gt;","",'Q 11'!$C19))</f>
        <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21</v>
      </c>
    </row>
    <row r="8930" spans="1:7" x14ac:dyDescent="0.3">
      <c r="A8930" t="s">
        <v>2181</v>
      </c>
      <c r="B8930" t="s">
        <v>2183</v>
      </c>
      <c r="C8930">
        <v>2</v>
      </c>
      <c r="D8930" t="s">
        <v>1447</v>
      </c>
      <c r="E8930" t="s">
        <v>2185</v>
      </c>
      <c r="F8930" t="s">
        <v>1741</v>
      </c>
      <c r="G8930" t="str">
        <f>IF(ISBLANK('Q 11'!$G19),"",IF('Q 11'!$G19="&lt;please select&gt;","",'Q 11'!$G19))</f>
        <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No special arrangements</v>
      </c>
    </row>
    <row r="8936" spans="1:7" x14ac:dyDescent="0.3">
      <c r="A8936" t="s">
        <v>2186</v>
      </c>
      <c r="B8936" t="s">
        <v>2187</v>
      </c>
      <c r="C8936">
        <v>2</v>
      </c>
      <c r="D8936" t="s">
        <v>1447</v>
      </c>
      <c r="E8936" t="s">
        <v>2188</v>
      </c>
      <c r="F8936" t="s">
        <v>1741</v>
      </c>
      <c r="G8936" t="str">
        <f>IF(ISBLANK('Q 12'!$G8),"",IF('Q 12'!$G8="&lt;please select&gt;","",'Q 12'!$G8))</f>
        <v>Yes</v>
      </c>
    </row>
    <row r="8937" spans="1:7" x14ac:dyDescent="0.3">
      <c r="A8937" t="s">
        <v>2186</v>
      </c>
      <c r="B8937" t="s">
        <v>2187</v>
      </c>
      <c r="C8937">
        <v>3</v>
      </c>
      <c r="D8937" t="s">
        <v>1447</v>
      </c>
      <c r="E8937" t="s">
        <v>2188</v>
      </c>
      <c r="F8937" t="s">
        <v>1741</v>
      </c>
      <c r="G8937" t="str">
        <f>IF(ISBLANK('Q 12'!$G9),"",IF('Q 12'!$G9="&lt;please select&gt;","",'Q 12'!$G9))</f>
        <v>CIZP performs checks in installations</v>
      </c>
    </row>
    <row r="8938" spans="1:7" x14ac:dyDescent="0.3">
      <c r="A8938" t="s">
        <v>2186</v>
      </c>
      <c r="B8938" t="s">
        <v>2187</v>
      </c>
      <c r="C8938">
        <v>4</v>
      </c>
      <c r="D8938" t="s">
        <v>1447</v>
      </c>
      <c r="E8938" t="s">
        <v>2188</v>
      </c>
      <c r="F8938" t="s">
        <v>1741</v>
      </c>
      <c r="G8938" t="str">
        <f>IF(ISBLANK('Q 12'!$G10),"",IF('Q 12'!$G10="&lt;please select&gt;","",'Q 12'!$G10))</f>
        <v>Yes</v>
      </c>
    </row>
    <row r="8939" spans="1:7" x14ac:dyDescent="0.3">
      <c r="A8939" t="s">
        <v>2186</v>
      </c>
      <c r="B8939" t="s">
        <v>2187</v>
      </c>
      <c r="C8939">
        <v>5</v>
      </c>
      <c r="D8939" t="s">
        <v>1447</v>
      </c>
      <c r="E8939" t="s">
        <v>2188</v>
      </c>
      <c r="F8939" t="s">
        <v>1741</v>
      </c>
      <c r="G8939" t="str">
        <f>IF(ISBLANK('Q 12'!$G11),"",IF('Q 12'!$G11="&lt;please select&gt;","",'Q 12'!$G11))</f>
        <v>Yes</v>
      </c>
    </row>
    <row r="8940" spans="1:7" x14ac:dyDescent="0.3">
      <c r="A8940" t="s">
        <v>2186</v>
      </c>
      <c r="B8940" t="s">
        <v>2187</v>
      </c>
      <c r="C8940">
        <v>6</v>
      </c>
      <c r="D8940" t="s">
        <v>1447</v>
      </c>
      <c r="E8940" t="s">
        <v>2188</v>
      </c>
      <c r="F8940" t="s">
        <v>1741</v>
      </c>
      <c r="G8940" t="str">
        <f>IF(ISBLANK('Q 12'!$G12),"",IF('Q 12'!$G12="&lt;please select&gt;","",'Q 12'!$G12))</f>
        <v>Sanction depend on legal classification of a committed
fraud and scope of caused harm, therefore there is no
simple answer to such question</v>
      </c>
    </row>
    <row r="8941" spans="1:7" x14ac:dyDescent="0.3">
      <c r="A8941" t="s">
        <v>2189</v>
      </c>
      <c r="B8941" t="s">
        <v>2190</v>
      </c>
      <c r="C8941">
        <v>1</v>
      </c>
      <c r="D8941" t="s">
        <v>1447</v>
      </c>
      <c r="E8941" t="s">
        <v>2191</v>
      </c>
      <c r="F8941" t="s">
        <v>1741</v>
      </c>
      <c r="G8941" t="str">
        <f>IF(ISBLANK('Q 12'!$G17),"",IF('Q 12'!$G17="&lt;please select&gt;","",'Q 12'!$G17))</f>
        <v>Yes. CIZP informs MoE about the findings ans/or sanctions. CIZP may also inform MoE about the proceedings of ongoind investigations.</v>
      </c>
    </row>
    <row r="8942" spans="1:7" x14ac:dyDescent="0.3">
      <c r="A8942" t="s">
        <v>2189</v>
      </c>
      <c r="B8942" t="s">
        <v>2190</v>
      </c>
      <c r="C8942">
        <v>2</v>
      </c>
      <c r="D8942" t="s">
        <v>1447</v>
      </c>
      <c r="E8942" t="s">
        <v>2191</v>
      </c>
      <c r="F8942" t="s">
        <v>1741</v>
      </c>
      <c r="G8942" t="str">
        <f>IF(ISBLANK('Q 12'!$G18),"",IF('Q 12'!$G18="&lt;please select&gt;","",'Q 12'!$G18))</f>
        <v>MoE is informed if relevant. Based on the nature of cases brought to court, MoE is usually one of the subjects concerned.</v>
      </c>
    </row>
    <row r="8943" spans="1:7" x14ac:dyDescent="0.3">
      <c r="A8943" t="s">
        <v>2189</v>
      </c>
      <c r="B8943" t="s">
        <v>2190</v>
      </c>
      <c r="C8943">
        <v>3</v>
      </c>
      <c r="D8943" t="s">
        <v>1447</v>
      </c>
      <c r="E8943" t="s">
        <v>2191</v>
      </c>
      <c r="F8943" t="s">
        <v>1741</v>
      </c>
      <c r="G8943" t="str">
        <f>IF(ISBLANK('Q 12'!$G19),"",IF('Q 12'!$G19="&lt;please select&gt;","",'Q 12'!$G19))</f>
        <v>MoE is informed if relevant. Based on the nature of cases brought to court, MoE is usually one of the subjects concerned.</v>
      </c>
    </row>
    <row r="8944" spans="1:7" x14ac:dyDescent="0.3">
      <c r="A8944" t="s">
        <v>2189</v>
      </c>
      <c r="B8944" t="s">
        <v>2190</v>
      </c>
      <c r="C8944">
        <v>4</v>
      </c>
      <c r="D8944" t="s">
        <v>1447</v>
      </c>
      <c r="E8944" t="s">
        <v>2191</v>
      </c>
      <c r="F8944" t="s">
        <v>1741</v>
      </c>
      <c r="G8944" t="str">
        <f>IF(ISBLANK('Q 12'!$G20),"",IF('Q 12'!$G20="&lt;please select&gt;","",'Q 12'!$G20))</f>
        <v>MoE is informed if relevant. Based on the nature of cases brought to court, MoE is usually one of the subjects concerned.</v>
      </c>
    </row>
    <row r="8945" spans="1:10" x14ac:dyDescent="0.3">
      <c r="A8945" t="s">
        <v>2192</v>
      </c>
      <c r="B8945" t="s">
        <v>2193</v>
      </c>
      <c r="C8945">
        <v>1</v>
      </c>
      <c r="D8945" t="s">
        <v>1447</v>
      </c>
      <c r="E8945" t="s">
        <v>2194</v>
      </c>
      <c r="F8945" t="s">
        <v>1748</v>
      </c>
      <c r="H8945" s="165" t="str">
        <f>IF(ISBLANK('Q 12'!$H28),"",IF('Q 12'!$H28="&lt;please select&gt;","",'Q 12'!$H28))</f>
        <v>0</v>
      </c>
    </row>
    <row r="8946" spans="1:10" x14ac:dyDescent="0.3">
      <c r="A8946" t="s">
        <v>2192</v>
      </c>
      <c r="B8946" t="s">
        <v>2193</v>
      </c>
      <c r="C8946">
        <v>2</v>
      </c>
      <c r="D8946" t="s">
        <v>1447</v>
      </c>
      <c r="E8946" t="s">
        <v>2194</v>
      </c>
      <c r="F8946" t="s">
        <v>1748</v>
      </c>
      <c r="H8946" s="165" t="str">
        <f>IF(ISBLANK('Q 12'!$H29),"",IF('Q 12'!$H29="&lt;please select&gt;","",'Q 12'!$H29))</f>
        <v>0</v>
      </c>
    </row>
    <row r="8947" spans="1:10" x14ac:dyDescent="0.3">
      <c r="A8947" t="s">
        <v>2192</v>
      </c>
      <c r="B8947" t="s">
        <v>2193</v>
      </c>
      <c r="C8947">
        <v>3</v>
      </c>
      <c r="D8947" t="s">
        <v>1447</v>
      </c>
      <c r="E8947" t="s">
        <v>2194</v>
      </c>
      <c r="F8947" t="s">
        <v>1748</v>
      </c>
      <c r="H8947" s="165" t="str">
        <f>IF(ISBLANK('Q 12'!$H30),"",IF('Q 12'!$H30="&lt;please select&gt;","",'Q 12'!$H30))</f>
        <v>0</v>
      </c>
    </row>
    <row r="8948" spans="1:10" x14ac:dyDescent="0.3">
      <c r="A8948" t="s">
        <v>2192</v>
      </c>
      <c r="B8948" t="s">
        <v>2193</v>
      </c>
      <c r="C8948">
        <v>4</v>
      </c>
      <c r="D8948" t="s">
        <v>1447</v>
      </c>
      <c r="E8948" t="s">
        <v>2194</v>
      </c>
      <c r="F8948" t="s">
        <v>1748</v>
      </c>
      <c r="H8948" s="165" t="str">
        <f>IF(ISBLANK('Q 12'!$H31),"",IF('Q 12'!$H31="&lt;please select&gt;","",'Q 12'!$H31))</f>
        <v>0</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Category B: 8 installations classified as category B were below 50 000 t in 2021.</v>
      </c>
    </row>
    <row r="8956" spans="1:10" x14ac:dyDescent="0.3">
      <c r="A8956" t="s">
        <v>2195</v>
      </c>
      <c r="B8956" t="s">
        <v>2196</v>
      </c>
      <c r="C8956">
        <v>8</v>
      </c>
      <c r="D8956" t="s">
        <v>1447</v>
      </c>
      <c r="E8956" t="s">
        <v>2197</v>
      </c>
      <c r="F8956" t="s">
        <v>1791</v>
      </c>
      <c r="J8956" t="str">
        <f>IF(ISBLANK('Q 13'!E14),"",IF('Q 13'!E14="&lt;please select&gt;","",'Q 13'!E14))</f>
        <v xml:space="preserve">Installations with low emissions: * Based on 2021 emissions - the category approved in the monitoring plan may differ. ** Including 13 installations that were (temporarily) excluded from the EU ETS pursuant to Art 27a of the Directive 87/2003/EC.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Plus 16 changes (of MP) occuring without a change to the emission permit, out of this 2 temporary.</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 The relatively big change in use of "other fossil fuels" is caused by decommissioning of the production and use of combusted pressurized gas in 2020 in one big installation.</v>
      </c>
    </row>
    <row r="8961" spans="1:10" x14ac:dyDescent="0.3">
      <c r="A8961" t="s">
        <v>2195</v>
      </c>
      <c r="B8961" t="s">
        <v>2196</v>
      </c>
      <c r="C8961">
        <v>13</v>
      </c>
      <c r="D8961" t="s">
        <v>1447</v>
      </c>
      <c r="E8961" t="s">
        <v>2197</v>
      </c>
      <c r="F8961" t="s">
        <v>1791</v>
      </c>
      <c r="J8961" t="str">
        <f>IF(ISBLANK('Q 13'!E19),"",IF('Q 13'!E19="&lt;please select&gt;","",'Q 13'!E19))</f>
        <v>* Improvement Reports received in the reported year 2021 (this means relating to issues identified in the year 2020) are included in the Art. 21 report.</v>
      </c>
    </row>
    <row r="8962" spans="1:10" x14ac:dyDescent="0.3">
      <c r="A8962" t="s">
        <v>2195</v>
      </c>
      <c r="B8962" t="s">
        <v>2196</v>
      </c>
      <c r="C8962">
        <v>14</v>
      </c>
      <c r="D8962" t="s">
        <v>1447</v>
      </c>
      <c r="E8962" t="s">
        <v>2197</v>
      </c>
      <c r="F8962" t="s">
        <v>1791</v>
      </c>
      <c r="J8962" t="str">
        <f>IF(ISBLANK('Q 13'!E20),"",IF('Q 13'!E20="&lt;please select&gt;","",'Q 13'!E20))</f>
        <v>* For some waste materials 0 t (fossil) emissions is reported. These materials are either waste biomass and do not produce fossil emissions, or a part of a complex process (e.g. in steel industry) that has negative balance of emissions based on input and output amounts of the material. Further, some source streams are reported with no activity data and zero emissions because the material is included in the monitoring plan and the emission report, but has not been used in the reporting period.</v>
      </c>
    </row>
    <row r="8963" spans="1:10" x14ac:dyDescent="0.3">
      <c r="A8963" t="s">
        <v>2195</v>
      </c>
      <c r="B8963" t="s">
        <v>2196</v>
      </c>
      <c r="C8963">
        <v>15</v>
      </c>
      <c r="D8963" t="s">
        <v>1447</v>
      </c>
      <c r="E8963" t="s">
        <v>2197</v>
      </c>
      <c r="F8963" t="s">
        <v>1791</v>
      </c>
      <c r="J8963" t="str">
        <f>IF(ISBLANK('Q 13'!E21),"",IF('Q 13'!E21="&lt;please select&gt;","",'Q 13'!E21))</f>
        <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
      </c>
    </row>
    <row r="8984" spans="1:10" x14ac:dyDescent="0.3">
      <c r="A8984" t="s">
        <v>2195</v>
      </c>
      <c r="B8984" t="s">
        <v>2196</v>
      </c>
      <c r="C8984">
        <v>36</v>
      </c>
      <c r="D8984" t="s">
        <v>1447</v>
      </c>
      <c r="E8984" t="s">
        <v>2197</v>
      </c>
      <c r="F8984" t="s">
        <v>1791</v>
      </c>
      <c r="J8984" t="str">
        <f>IF(ISBLANK('Q 13'!E42),"",IF('Q 13'!E42="&lt;please select&gt;","",'Q 13'!E42))</f>
        <v/>
      </c>
    </row>
    <row r="8985" spans="1:10" x14ac:dyDescent="0.3">
      <c r="A8985" t="s">
        <v>2195</v>
      </c>
      <c r="B8985" t="s">
        <v>2196</v>
      </c>
      <c r="C8985">
        <v>37</v>
      </c>
      <c r="D8985" t="s">
        <v>1447</v>
      </c>
      <c r="E8985" t="s">
        <v>2197</v>
      </c>
      <c r="F8985" t="s">
        <v>1791</v>
      </c>
      <c r="J8985" t="str">
        <f>IF(ISBLANK('Q 13'!E43),"",IF('Q 13'!E43="&lt;please select&gt;","",'Q 13'!E43))</f>
        <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The copy of CZ specific terms and conditions required to be signed by account holders is submitted in the attachment of this report, including a unofficial courtesy translation to EN.</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
      </c>
    </row>
    <row r="8999" spans="1:10" x14ac:dyDescent="0.3">
      <c r="A8999" t="s">
        <v>2195</v>
      </c>
      <c r="B8999" t="s">
        <v>2196</v>
      </c>
      <c r="C8999">
        <v>51</v>
      </c>
      <c r="D8999" t="s">
        <v>1447</v>
      </c>
      <c r="E8999" t="s">
        <v>2197</v>
      </c>
      <c r="F8999" t="s">
        <v>1791</v>
      </c>
      <c r="J8999" t="str">
        <f>IF(ISBLANK('Q 13'!E57),"",IF('Q 13'!E57="&lt;please select&gt;","",'Q 13'!E57))</f>
        <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
      </c>
    </row>
    <row r="9017" spans="1:10" x14ac:dyDescent="0.3">
      <c r="A9017" t="s">
        <v>2195</v>
      </c>
      <c r="B9017" t="s">
        <v>2196</v>
      </c>
      <c r="C9017">
        <v>69</v>
      </c>
      <c r="D9017" t="s">
        <v>1447</v>
      </c>
      <c r="E9017" t="s">
        <v>2197</v>
      </c>
      <c r="F9017" t="s">
        <v>1791</v>
      </c>
      <c r="J9017" t="str">
        <f>IF(ISBLANK('Q 13'!E75),"",IF('Q 13'!E75="&lt;please select&gt;","",'Q 13'!E75))</f>
        <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c>
    </row>
    <row r="9020" spans="1:10" x14ac:dyDescent="0.3">
      <c r="A9020" t="s">
        <v>2195</v>
      </c>
      <c r="B9020" t="s">
        <v>2196</v>
      </c>
      <c r="C9020">
        <v>72</v>
      </c>
      <c r="D9020" t="s">
        <v>1447</v>
      </c>
      <c r="E9020" t="s">
        <v>2197</v>
      </c>
      <c r="F9020" t="s">
        <v>1791</v>
      </c>
      <c r="J9020" t="str">
        <f>IF(ISBLANK('Q 13'!E78),"",IF('Q 13'!E78="&lt;please select&gt;","",'Q 13'!E78))</f>
        <v/>
      </c>
    </row>
    <row r="9021" spans="1:10" x14ac:dyDescent="0.3">
      <c r="A9021" t="s">
        <v>2195</v>
      </c>
      <c r="B9021" t="s">
        <v>2196</v>
      </c>
      <c r="C9021">
        <v>73</v>
      </c>
      <c r="D9021" t="s">
        <v>1447</v>
      </c>
      <c r="E9021" t="s">
        <v>2197</v>
      </c>
      <c r="F9021" t="s">
        <v>1791</v>
      </c>
      <c r="J9021" t="str">
        <f>IF(ISBLANK('Q 13'!E79),"",IF('Q 13'!E79="&lt;please select&gt;","",'Q 13'!E79))</f>
        <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Question 3.1</v>
      </c>
    </row>
    <row r="9040" spans="1:11" x14ac:dyDescent="0.3">
      <c r="A9040" t="s">
        <v>2195</v>
      </c>
      <c r="B9040" t="s">
        <v>2196</v>
      </c>
      <c r="C9040">
        <v>8</v>
      </c>
      <c r="D9040" t="s">
        <v>1447</v>
      </c>
      <c r="E9040" t="s">
        <v>2198</v>
      </c>
      <c r="F9040" t="s">
        <v>1737</v>
      </c>
      <c r="K9040" t="str">
        <f>IF(ISBLANK('Q 13'!$D14),"",IF('Q 13'!$D14="&lt;please select&gt;","",'Q 13'!$D14))</f>
        <v>Question 3.1</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Question 4.2</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Question 5.5</v>
      </c>
    </row>
    <row r="9045" spans="1:11" x14ac:dyDescent="0.3">
      <c r="A9045" t="s">
        <v>2195</v>
      </c>
      <c r="B9045" t="s">
        <v>2196</v>
      </c>
      <c r="C9045">
        <v>13</v>
      </c>
      <c r="D9045" t="s">
        <v>1447</v>
      </c>
      <c r="E9045" t="s">
        <v>2198</v>
      </c>
      <c r="F9045" t="s">
        <v>1737</v>
      </c>
      <c r="K9045" t="str">
        <f>IF(ISBLANK('Q 13'!$D19),"",IF('Q 13'!$D19="&lt;please select&gt;","",'Q 13'!$D19))</f>
        <v>Question 5.12</v>
      </c>
    </row>
    <row r="9046" spans="1:11" x14ac:dyDescent="0.3">
      <c r="A9046" t="s">
        <v>2195</v>
      </c>
      <c r="B9046" t="s">
        <v>2196</v>
      </c>
      <c r="C9046">
        <v>14</v>
      </c>
      <c r="D9046" t="s">
        <v>1447</v>
      </c>
      <c r="E9046" t="s">
        <v>2198</v>
      </c>
      <c r="F9046" t="s">
        <v>1737</v>
      </c>
      <c r="K9046" t="str">
        <f>IF(ISBLANK('Q 13'!$D20),"",IF('Q 13'!$D20="&lt;please select&gt;","",'Q 13'!$D20))</f>
        <v>Question 5.16</v>
      </c>
    </row>
    <row r="9047" spans="1:11" x14ac:dyDescent="0.3">
      <c r="A9047" t="s">
        <v>2195</v>
      </c>
      <c r="B9047" t="s">
        <v>2196</v>
      </c>
      <c r="C9047">
        <v>15</v>
      </c>
      <c r="D9047" t="s">
        <v>1447</v>
      </c>
      <c r="E9047" t="s">
        <v>2198</v>
      </c>
      <c r="F9047" t="s">
        <v>1737</v>
      </c>
      <c r="K9047" t="str">
        <f>IF(ISBLANK('Q 13'!$D21),"",IF('Q 13'!$D21="&lt;please select&gt;","",'Q 13'!$D21))</f>
        <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
      </c>
    </row>
    <row r="9068" spans="1:11" x14ac:dyDescent="0.3">
      <c r="A9068" t="s">
        <v>2195</v>
      </c>
      <c r="B9068" t="s">
        <v>2196</v>
      </c>
      <c r="C9068">
        <v>36</v>
      </c>
      <c r="D9068" t="s">
        <v>1447</v>
      </c>
      <c r="E9068" t="s">
        <v>2198</v>
      </c>
      <c r="F9068" t="s">
        <v>1737</v>
      </c>
      <c r="K9068" t="str">
        <f>IF(ISBLANK('Q 13'!$D42),"",IF('Q 13'!$D42="&lt;please select&gt;","",'Q 13'!$D42))</f>
        <v/>
      </c>
    </row>
    <row r="9069" spans="1:11" x14ac:dyDescent="0.3">
      <c r="A9069" t="s">
        <v>2195</v>
      </c>
      <c r="B9069" t="s">
        <v>2196</v>
      </c>
      <c r="C9069">
        <v>37</v>
      </c>
      <c r="D9069" t="s">
        <v>1447</v>
      </c>
      <c r="E9069" t="s">
        <v>2198</v>
      </c>
      <c r="F9069" t="s">
        <v>1737</v>
      </c>
      <c r="K9069" t="str">
        <f>IF(ISBLANK('Q 13'!$D43),"",IF('Q 13'!$D43="&lt;please select&gt;","",'Q 13'!$D43))</f>
        <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Question 7.1</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
      </c>
    </row>
    <row r="9083" spans="1:11" x14ac:dyDescent="0.3">
      <c r="A9083" t="s">
        <v>2195</v>
      </c>
      <c r="B9083" t="s">
        <v>2196</v>
      </c>
      <c r="C9083">
        <v>51</v>
      </c>
      <c r="D9083" t="s">
        <v>1447</v>
      </c>
      <c r="E9083" t="s">
        <v>2198</v>
      </c>
      <c r="F9083" t="s">
        <v>1737</v>
      </c>
      <c r="K9083" t="str">
        <f>IF(ISBLANK('Q 13'!$D57),"",IF('Q 13'!$D57="&lt;please select&gt;","",'Q 13'!$D57))</f>
        <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
      </c>
    </row>
    <row r="9101" spans="1:11" x14ac:dyDescent="0.3">
      <c r="A9101" t="s">
        <v>2195</v>
      </c>
      <c r="B9101" t="s">
        <v>2196</v>
      </c>
      <c r="C9101">
        <v>69</v>
      </c>
      <c r="D9101" t="s">
        <v>1447</v>
      </c>
      <c r="E9101" t="s">
        <v>2198</v>
      </c>
      <c r="F9101" t="s">
        <v>1737</v>
      </c>
      <c r="K9101" t="str">
        <f>IF(ISBLANK('Q 13'!$D75),"",IF('Q 13'!$D75="&lt;please select&gt;","",'Q 13'!$D75))</f>
        <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
      </c>
    </row>
    <row r="9104" spans="1:11" x14ac:dyDescent="0.3">
      <c r="A9104" t="s">
        <v>2195</v>
      </c>
      <c r="B9104" t="s">
        <v>2196</v>
      </c>
      <c r="C9104">
        <v>72</v>
      </c>
      <c r="D9104" t="s">
        <v>1447</v>
      </c>
      <c r="E9104" t="s">
        <v>2198</v>
      </c>
      <c r="F9104" t="s">
        <v>1737</v>
      </c>
      <c r="K9104" t="str">
        <f>IF(ISBLANK('Q 13'!$D78),"",IF('Q 13'!$D78="&lt;please select&gt;","",'Q 13'!$D78))</f>
        <v/>
      </c>
    </row>
    <row r="9105" spans="1:11" x14ac:dyDescent="0.3">
      <c r="A9105" t="s">
        <v>2195</v>
      </c>
      <c r="B9105" t="s">
        <v>2196</v>
      </c>
      <c r="C9105">
        <v>73</v>
      </c>
      <c r="D9105" t="s">
        <v>1447</v>
      </c>
      <c r="E9105" t="s">
        <v>2198</v>
      </c>
      <c r="F9105" t="s">
        <v>1737</v>
      </c>
      <c r="K9105" t="str">
        <f>IF(ISBLANK('Q 13'!$D79),"",IF('Q 13'!$D79="&lt;please select&gt;","",'Q 13'!$D79))</f>
        <v/>
      </c>
    </row>
    <row r="9106" spans="1:11" x14ac:dyDescent="0.3">
      <c r="A9106" t="s">
        <v>2195</v>
      </c>
      <c r="B9106" t="s">
        <v>2196</v>
      </c>
      <c r="C9106">
        <v>74</v>
      </c>
      <c r="D9106" t="s">
        <v>1447</v>
      </c>
      <c r="E9106" t="s">
        <v>2198</v>
      </c>
      <c r="F9106" t="s">
        <v>1737</v>
      </c>
      <c r="K9106" t="str">
        <f>IF(ISBLANK('Q 13'!$D80),"",IF('Q 13'!$D80="&lt;please select&gt;","",'Q 13'!$D80))</f>
        <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3" t="s">
        <v>5</v>
      </c>
      <c r="C3" s="253"/>
      <c r="D3" s="253"/>
      <c r="E3" s="253"/>
      <c r="F3" s="253"/>
      <c r="G3" s="253"/>
      <c r="H3" s="253"/>
      <c r="I3" s="253"/>
    </row>
    <row r="4" spans="1:9" s="69" customFormat="1" ht="12" customHeight="1" x14ac:dyDescent="0.3">
      <c r="A4" s="81"/>
      <c r="B4" s="82"/>
      <c r="C4" s="82"/>
      <c r="D4" s="82"/>
      <c r="E4" s="82"/>
      <c r="F4" s="82"/>
      <c r="G4" s="82"/>
      <c r="H4" s="82"/>
      <c r="I4" s="82"/>
    </row>
    <row r="5" spans="1:9" s="69" customFormat="1" ht="14.4" x14ac:dyDescent="0.3">
      <c r="A5" s="68"/>
      <c r="C5" s="251" t="s">
        <v>653</v>
      </c>
      <c r="D5" s="250"/>
      <c r="E5" s="243" t="str">
        <f>_xlfn.CONCAT(_xlfn.XLOOKUP("[S01_InstitutionDetails][0][NameAndDepartment]",Submission!$O:$O,Submission!$H:$N,""))</f>
        <v>Ministry of the Environment of the Czech Republic</v>
      </c>
      <c r="F5" s="244"/>
      <c r="G5" s="244"/>
      <c r="H5" s="244"/>
      <c r="I5" s="245"/>
    </row>
    <row r="6" spans="1:9" s="69" customFormat="1" ht="14.4" x14ac:dyDescent="0.3">
      <c r="A6" s="68"/>
      <c r="C6" s="251" t="s">
        <v>654</v>
      </c>
      <c r="D6" s="250"/>
      <c r="E6" s="243" t="str">
        <f>_xlfn.CONCAT(_xlfn.XLOOKUP("[S01_InstitutionDetails][0][ContactPersonName]",Submission!$O:$O,Submission!$H:$N,""))</f>
        <v>Jan Tuma</v>
      </c>
      <c r="F6" s="244"/>
      <c r="G6" s="244"/>
      <c r="H6" s="244"/>
      <c r="I6" s="245"/>
    </row>
    <row r="7" spans="1:9" s="69" customFormat="1" ht="14.4" x14ac:dyDescent="0.3">
      <c r="A7" s="68"/>
      <c r="C7" s="251" t="s">
        <v>655</v>
      </c>
      <c r="D7" s="250"/>
      <c r="E7" s="243" t="str">
        <f>_xlfn.CONCAT(_xlfn.XLOOKUP("[S01_InstitutionDetails][0][ContactPersonJobTitle]",Submission!$O:$O,Submission!$H:$N,""))</f>
        <v>Head of Emission Trading Unit</v>
      </c>
      <c r="F7" s="244"/>
      <c r="G7" s="244"/>
      <c r="H7" s="244"/>
      <c r="I7" s="245"/>
    </row>
    <row r="8" spans="1:9" s="69" customFormat="1" ht="14.4" x14ac:dyDescent="0.3">
      <c r="A8" s="68"/>
      <c r="C8" s="251" t="s">
        <v>656</v>
      </c>
      <c r="D8" s="250"/>
      <c r="E8" s="243" t="str">
        <f>_xlfn.CONCAT(_xlfn.XLOOKUP("[S01_InstitutionDetails][0][Address]",Submission!$O:$O,Submission!$H:$N,""))</f>
        <v>Vrsovicka 65, Praha 10, 100 10</v>
      </c>
      <c r="F8" s="244"/>
      <c r="G8" s="244"/>
      <c r="H8" s="244"/>
      <c r="I8" s="245"/>
    </row>
    <row r="9" spans="1:9" s="69" customFormat="1" ht="14.4" x14ac:dyDescent="0.3">
      <c r="A9" s="68"/>
      <c r="C9" s="251" t="s">
        <v>657</v>
      </c>
      <c r="D9" s="250"/>
      <c r="E9" s="246" t="str">
        <f>_xlfn.CONCAT(_xlfn.XLOOKUP("[S01_InstitutionDetails][0][InternationalTelephoneNumber]",Submission!$O:$O,Submission!$H:$N,""))</f>
        <v>420267122360</v>
      </c>
      <c r="F9" s="247"/>
      <c r="G9" s="247"/>
      <c r="H9" s="247"/>
      <c r="I9" s="248"/>
    </row>
    <row r="10" spans="1:9" s="69" customFormat="1" ht="14.4" x14ac:dyDescent="0.3">
      <c r="A10" s="68"/>
      <c r="C10" s="251" t="s">
        <v>658</v>
      </c>
      <c r="D10" s="250"/>
      <c r="E10" s="252" t="str">
        <f>_xlfn.CONCAT(_xlfn.XLOOKUP("[S01_InstitutionDetails][0][EMail]",Submission!$O:$O,Submission!$H:$N,""))</f>
        <v>jan.tuma@mzp.cz</v>
      </c>
      <c r="F10" s="244"/>
      <c r="G10" s="244"/>
      <c r="H10" s="244"/>
      <c r="I10" s="245"/>
    </row>
    <row r="11" spans="1:9" s="79" customFormat="1" ht="14.4" x14ac:dyDescent="0.3">
      <c r="A11" s="78"/>
      <c r="C11" s="249" t="s">
        <v>2229</v>
      </c>
      <c r="D11" s="250"/>
      <c r="E11" s="243" t="str">
        <f>_xlfn.CONCAT(_xlfn.XLOOKUP("[S01_InstitutionDetails][0][ReportingYear]",Submission!$O:$O,Submission!$H:$N,""))</f>
        <v>2021</v>
      </c>
      <c r="F11" s="244"/>
      <c r="G11" s="244"/>
      <c r="H11" s="244"/>
      <c r="I11" s="245"/>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3" t="s">
        <v>659</v>
      </c>
      <c r="C3" s="253"/>
      <c r="D3" s="253"/>
      <c r="E3" s="253"/>
      <c r="F3" s="253"/>
      <c r="G3" s="253"/>
      <c r="H3" s="253"/>
      <c r="I3" s="253"/>
    </row>
    <row r="4" spans="1:11" s="69" customFormat="1" ht="15.6" x14ac:dyDescent="0.3">
      <c r="A4" s="57" t="s">
        <v>12</v>
      </c>
      <c r="B4" s="283" t="s">
        <v>660</v>
      </c>
      <c r="C4" s="284"/>
      <c r="D4" s="284"/>
      <c r="E4" s="284"/>
      <c r="F4" s="284"/>
      <c r="G4" s="284"/>
      <c r="H4" s="284"/>
      <c r="I4" s="284"/>
    </row>
    <row r="5" spans="1:11" s="27" customFormat="1" ht="34.950000000000003" customHeight="1" x14ac:dyDescent="0.3">
      <c r="A5" s="144"/>
      <c r="B5" s="275" t="s">
        <v>661</v>
      </c>
      <c r="C5" s="276"/>
      <c r="D5" s="276"/>
      <c r="E5" s="276"/>
      <c r="F5" s="276"/>
      <c r="G5" s="276"/>
      <c r="H5" s="276"/>
      <c r="I5" s="276"/>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Ministry of the Environment</v>
      </c>
      <c r="D7" s="72" t="str">
        <f>_xlfn.CONCAT(_xlfn.XLOOKUP("[S02_CompetentAuthority][1][CAAbbreviation]",Submission!$O:$O,Submission!$H:$N,""))</f>
        <v>MoE</v>
      </c>
      <c r="E7" s="72" t="str">
        <f>_xlfn.CONCAT(_xlfn.XLOOKUP("[S02_CompetentAuthority][1][CAType]",Submission!$O:$O,Submission!$H:$N,""))</f>
        <v>Central competent authority</v>
      </c>
      <c r="F7" s="105" t="str">
        <f>_xlfn.CONCAT(_xlfn.XLOOKUP("[S02_CompetentAuthority][1][CANumber]",Submission!$O:$O,Submission!$H:$N,""))</f>
        <v>1</v>
      </c>
      <c r="G7" s="177" t="str">
        <f>_xlfn.CONCAT(_xlfn.XLOOKUP("[S02_CompetentAuthority][1][CATelephone]",Submission!$O:$O,Submission!$H:$N,""))</f>
        <v>420267121111</v>
      </c>
      <c r="H7" s="83" t="str">
        <f>_xlfn.CONCAT(_xlfn.XLOOKUP("[S02_CompetentAuthority][1][CAEmail]",Submission!$O:$O,Submission!$H:$N,""))</f>
        <v>info@mzp.cz</v>
      </c>
      <c r="I7" s="72" t="str">
        <f>_xlfn.CONCAT(_xlfn.XLOOKUP("[S02_CompetentAuthority][1][CAWebsite]",Submission!$O:$O,Submission!$H:$N,""))</f>
        <v>www.mzp.cz/en/</v>
      </c>
      <c r="J7" s="79"/>
    </row>
    <row r="8" spans="1:11" s="58" customFormat="1" ht="15.9" customHeight="1" x14ac:dyDescent="0.3">
      <c r="B8" s="79"/>
      <c r="C8" s="71" t="str">
        <f>_xlfn.CONCAT(_xlfn.XLOOKUP("[S02_CompetentAuthority][2][CAName]",Submission!$O:$O,Submission!$H:$N,""))</f>
        <v>OTE, a.s.</v>
      </c>
      <c r="D8" s="72" t="str">
        <f>_xlfn.CONCAT(_xlfn.XLOOKUP("[S02_CompetentAuthority][2][CAAbbreviation]",Submission!$O:$O,Submission!$H:$N,""))</f>
        <v>OTE</v>
      </c>
      <c r="E8" s="72" t="str">
        <f>_xlfn.CONCAT(_xlfn.XLOOKUP("[S02_CompetentAuthority][2][CAType]",Submission!$O:$O,Submission!$H:$N,""))</f>
        <v>Other</v>
      </c>
      <c r="F8" s="105" t="str">
        <f>_xlfn.CONCAT(_xlfn.XLOOKUP("[S02_CompetentAuthority][2][CANumber]",Submission!$O:$O,Submission!$H:$N,""))</f>
        <v>1</v>
      </c>
      <c r="G8" s="177" t="str">
        <f>_xlfn.CONCAT(_xlfn.XLOOKUP("[S02_CompetentAuthority][2][CATelephone]",Submission!$O:$O,Submission!$H:$N,""))</f>
        <v>420296579332</v>
      </c>
      <c r="H8" s="83" t="str">
        <f>_xlfn.CONCAT(_xlfn.XLOOKUP("[S02_CompetentAuthority][2][CAEmail]",Submission!$O:$O,Submission!$H:$N,""))</f>
        <v>povolenky@ote-cr.cz</v>
      </c>
      <c r="I8" s="72" t="str">
        <f>_xlfn.CONCAT(_xlfn.XLOOKUP("[S02_CompetentAuthority][2][CAWebsite]",Submission!$O:$O,Submission!$H:$N,""))</f>
        <v>www.povolenky.cz</v>
      </c>
      <c r="J8" s="79"/>
    </row>
    <row r="9" spans="1:11" s="58" customFormat="1" ht="15.9" customHeight="1" x14ac:dyDescent="0.3">
      <c r="B9" s="79"/>
      <c r="C9" s="71" t="str">
        <f>_xlfn.CONCAT(_xlfn.XLOOKUP("[S02_CompetentAuthority][3][CAName]",Submission!$O:$O,Submission!$H:$N,""))</f>
        <v>Czech Environmental Inspectorate</v>
      </c>
      <c r="D9" s="72" t="str">
        <f>_xlfn.CONCAT(_xlfn.XLOOKUP("[S02_CompetentAuthority][3][CAAbbreviation]",Submission!$O:$O,Submission!$H:$N,""))</f>
        <v>CIZP</v>
      </c>
      <c r="E9" s="72" t="str">
        <f>_xlfn.CONCAT(_xlfn.XLOOKUP("[S02_CompetentAuthority][3][CAType]",Submission!$O:$O,Submission!$H:$N,""))</f>
        <v>Other</v>
      </c>
      <c r="F9" s="105" t="str">
        <f>_xlfn.CONCAT(_xlfn.XLOOKUP("[S02_CompetentAuthority][3][CANumber]",Submission!$O:$O,Submission!$H:$N,""))</f>
        <v>1</v>
      </c>
      <c r="G9" s="177" t="str">
        <f>_xlfn.CONCAT(_xlfn.XLOOKUP("[S02_CompetentAuthority][3][CATelephone]",Submission!$O:$O,Submission!$H:$N,""))</f>
        <v>420222860111</v>
      </c>
      <c r="H9" s="83" t="str">
        <f>_xlfn.CONCAT(_xlfn.XLOOKUP("[S02_CompetentAuthority][3][CAEmail]",Submission!$O:$O,Submission!$H:$N,""))</f>
        <v>podatelna@cizp.cz</v>
      </c>
      <c r="I9" s="72" t="str">
        <f>_xlfn.CONCAT(_xlfn.XLOOKUP("[S02_CompetentAuthority][3][CAWebsite]",Submission!$O:$O,Submission!$H:$N,""))</f>
        <v>www.cizp.cz</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7"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7"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7"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7"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2" t="s">
        <v>669</v>
      </c>
      <c r="D30" s="263"/>
      <c r="E30" s="263"/>
      <c r="F30" s="263"/>
      <c r="G30" s="263"/>
      <c r="H30" s="263"/>
      <c r="I30" s="263"/>
      <c r="J30" s="79"/>
      <c r="K30" s="69"/>
    </row>
    <row r="31" spans="2:11" s="58" customFormat="1" ht="15.6" x14ac:dyDescent="0.3">
      <c r="B31" s="84"/>
      <c r="C31" s="262" t="s">
        <v>670</v>
      </c>
      <c r="D31" s="263"/>
      <c r="E31" s="263"/>
      <c r="F31" s="263"/>
      <c r="G31" s="263"/>
      <c r="H31" s="263"/>
      <c r="I31" s="263"/>
      <c r="J31" s="79"/>
      <c r="K31" s="69"/>
    </row>
    <row r="32" spans="2:11" s="58" customFormat="1" ht="15.6" x14ac:dyDescent="0.3">
      <c r="B32" s="84"/>
      <c r="C32" s="262" t="s">
        <v>671</v>
      </c>
      <c r="D32" s="263"/>
      <c r="E32" s="263"/>
      <c r="F32" s="263"/>
      <c r="G32" s="263"/>
      <c r="H32" s="263"/>
      <c r="I32" s="263"/>
      <c r="J32" s="79"/>
      <c r="K32" s="69"/>
    </row>
    <row r="33" spans="1:9" s="69" customFormat="1" ht="14.4" x14ac:dyDescent="0.3"/>
    <row r="34" spans="1:9" s="58" customFormat="1" ht="45.6" customHeight="1" x14ac:dyDescent="0.3">
      <c r="A34" s="75"/>
      <c r="B34" s="285" t="s">
        <v>672</v>
      </c>
      <c r="C34" s="286"/>
      <c r="D34" s="286"/>
      <c r="E34" s="286"/>
      <c r="F34" s="286"/>
      <c r="G34" s="286"/>
      <c r="H34" s="287"/>
      <c r="I34" s="41" t="str">
        <f>_xlfn.CONCAT(_xlfn.XLOOKUP("[S02_AccreditationBodyYesNo][0][S02_AccreditationBodyYesNo]",Submission!$O:$O,Submission!$H:$N,""))</f>
        <v>Yes</v>
      </c>
    </row>
    <row r="35" spans="1:9" s="27" customFormat="1" ht="16.95" customHeight="1" x14ac:dyDescent="0.3">
      <c r="A35" s="154"/>
      <c r="B35" s="149"/>
      <c r="C35" s="279" t="s">
        <v>673</v>
      </c>
      <c r="D35" s="280"/>
      <c r="E35" s="280"/>
      <c r="F35" s="280"/>
      <c r="G35" s="280"/>
      <c r="H35" s="280"/>
      <c r="I35" s="280"/>
    </row>
    <row r="36" spans="1:9" s="58" customFormat="1" ht="15.9" customHeight="1" x14ac:dyDescent="0.3">
      <c r="A36" s="75"/>
      <c r="B36" s="76"/>
      <c r="C36" s="66"/>
      <c r="D36" s="66"/>
      <c r="E36" s="66"/>
      <c r="F36" s="66"/>
      <c r="G36" s="66"/>
      <c r="H36" s="66"/>
    </row>
    <row r="37" spans="1:9" s="58" customFormat="1" ht="19.95" customHeight="1" x14ac:dyDescent="0.3">
      <c r="A37" s="75"/>
      <c r="B37" s="264" t="s">
        <v>674</v>
      </c>
      <c r="C37" s="265"/>
      <c r="D37" s="265"/>
      <c r="E37" s="265"/>
      <c r="F37" s="265"/>
      <c r="G37" s="265"/>
      <c r="H37" s="265"/>
      <c r="I37" s="265"/>
    </row>
    <row r="38" spans="1:9" s="58" customFormat="1" ht="15.9" customHeight="1" x14ac:dyDescent="0.3">
      <c r="C38" s="294" t="s">
        <v>662</v>
      </c>
      <c r="D38" s="295"/>
      <c r="E38" s="53" t="s">
        <v>663</v>
      </c>
      <c r="F38" s="53" t="s">
        <v>675</v>
      </c>
      <c r="G38" s="44" t="s">
        <v>676</v>
      </c>
      <c r="H38" s="290" t="s">
        <v>677</v>
      </c>
      <c r="I38" s="291"/>
    </row>
    <row r="39" spans="1:9" s="58" customFormat="1" ht="15.9" customHeight="1" x14ac:dyDescent="0.3">
      <c r="C39" s="288" t="str">
        <f>_xlfn.CONCAT(_xlfn.XLOOKUP("[S02_AccreditationBody][1][AccBodyName]",Submission!$O:$O,Submission!$H:$N,""))</f>
        <v>Czech Accreditation Institute</v>
      </c>
      <c r="D39" s="289"/>
      <c r="E39" s="72" t="str">
        <f>_xlfn.CONCAT(_xlfn.XLOOKUP("[S02_AccreditationBody][1][AccBodyAbbreviation]",Submission!$O:$O,Submission!$H:$N,""))</f>
        <v>CAI</v>
      </c>
      <c r="F39" s="177" t="str">
        <f>_xlfn.CONCAT(_xlfn.XLOOKUP("[S02_AccreditationBody][1][AccBodyTelephone]",Submission!$O:$O,Submission!$H:$N,""))</f>
        <v>420272096222</v>
      </c>
      <c r="G39" s="77" t="str">
        <f>_xlfn.CONCAT(_xlfn.XLOOKUP("[S02_AccreditationBody][1][AccBodyEmail]",Submission!$O:$O,Submission!$H:$N,""))</f>
        <v>mail@cai.cz</v>
      </c>
      <c r="H39" s="292" t="str">
        <f>_xlfn.CONCAT(_xlfn.XLOOKUP("[S02_AccreditationBody][1][AccBodyWebsite]",Submission!$O:$O,Submission!$H:$N,""))</f>
        <v>www.cia.cz/en/</v>
      </c>
      <c r="I39" s="293"/>
    </row>
    <row r="40" spans="1:9" s="58" customFormat="1" ht="15.9" customHeight="1" x14ac:dyDescent="0.3">
      <c r="A40" s="75"/>
    </row>
    <row r="41" spans="1:9" s="58" customFormat="1" ht="15.6" x14ac:dyDescent="0.3">
      <c r="A41" s="75"/>
      <c r="B41" s="277" t="s">
        <v>678</v>
      </c>
      <c r="C41" s="265"/>
      <c r="D41" s="265"/>
      <c r="E41" s="265"/>
      <c r="F41" s="265"/>
      <c r="G41" s="265"/>
      <c r="H41" s="278"/>
      <c r="I41" s="41" t="str">
        <f>_xlfn.CONCAT(_xlfn.XLOOKUP("[CertificationBodySetUp][0][CertificationBodySetUp]",Submission!$O:$O,Submission!$H:$N,""))</f>
        <v>No</v>
      </c>
    </row>
    <row r="42" spans="1:9" s="58" customFormat="1" ht="20.399999999999999" customHeight="1" x14ac:dyDescent="0.3">
      <c r="A42" s="75"/>
      <c r="B42" s="277" t="s">
        <v>679</v>
      </c>
      <c r="C42" s="265"/>
      <c r="D42" s="265"/>
      <c r="E42" s="265"/>
      <c r="F42" s="265"/>
      <c r="G42" s="265"/>
      <c r="H42" s="265"/>
      <c r="I42" s="265"/>
    </row>
    <row r="43" spans="1:9" s="27" customFormat="1" ht="29.4" customHeight="1" x14ac:dyDescent="0.3">
      <c r="A43" s="154"/>
      <c r="B43" s="22"/>
      <c r="C43" s="279" t="s">
        <v>680</v>
      </c>
      <c r="D43" s="280"/>
      <c r="E43" s="280"/>
      <c r="F43" s="280"/>
      <c r="G43" s="280"/>
      <c r="H43" s="280"/>
      <c r="I43" s="280"/>
    </row>
    <row r="44" spans="1:9" s="58" customFormat="1" ht="15.9" customHeight="1" x14ac:dyDescent="0.3">
      <c r="C44" s="294" t="s">
        <v>662</v>
      </c>
      <c r="D44" s="295"/>
      <c r="E44" s="53" t="s">
        <v>663</v>
      </c>
      <c r="F44" s="53" t="s">
        <v>675</v>
      </c>
      <c r="G44" s="44" t="s">
        <v>676</v>
      </c>
      <c r="H44" s="290" t="s">
        <v>677</v>
      </c>
      <c r="I44" s="291"/>
    </row>
    <row r="45" spans="1:9" s="58" customFormat="1" ht="15.9" customHeight="1" x14ac:dyDescent="0.3">
      <c r="C45" s="288" t="str">
        <f>_xlfn.CONCAT(_xlfn.XLOOKUP("[S02_CertificationAuthExistsDetails][1][CertAuthName]",Submission!$O:$O,Submission!$H:$N,""))</f>
        <v/>
      </c>
      <c r="D45" s="289"/>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2" t="str">
        <f>_xlfn.CONCAT(_xlfn.XLOOKUP("[S02_CertificationAuthExistsDetails][1][CertAuthWebsite]",Submission!$O:$O,Submission!$H:$N,""))</f>
        <v/>
      </c>
      <c r="I45" s="293"/>
    </row>
    <row r="46" spans="1:9" s="58" customFormat="1" ht="15.9" customHeight="1" x14ac:dyDescent="0.3">
      <c r="A46" s="75"/>
    </row>
    <row r="47" spans="1:9" s="58" customFormat="1" ht="18" customHeight="1" x14ac:dyDescent="0.3">
      <c r="A47" s="75"/>
      <c r="B47" s="264" t="s">
        <v>681</v>
      </c>
      <c r="C47" s="265"/>
      <c r="D47" s="265"/>
      <c r="E47" s="265"/>
      <c r="F47" s="265"/>
      <c r="G47" s="265"/>
      <c r="H47" s="265"/>
      <c r="I47" s="265"/>
    </row>
    <row r="48" spans="1:9" s="58" customFormat="1" ht="15.9" customHeight="1" x14ac:dyDescent="0.3">
      <c r="C48" s="294" t="s">
        <v>662</v>
      </c>
      <c r="D48" s="295"/>
      <c r="E48" s="53" t="s">
        <v>663</v>
      </c>
      <c r="F48" s="53" t="s">
        <v>675</v>
      </c>
      <c r="G48" s="44" t="s">
        <v>676</v>
      </c>
      <c r="H48" s="290" t="s">
        <v>677</v>
      </c>
      <c r="I48" s="291"/>
    </row>
    <row r="49" spans="1:9" s="58" customFormat="1" ht="15.9" customHeight="1" x14ac:dyDescent="0.3">
      <c r="C49" s="288" t="str">
        <f>_xlfn.CONCAT(_xlfn.XLOOKUP("[S02_RegistryAdministrator][1][RegAdminName]",Submission!$O:$O,Submission!$H:$N,""))</f>
        <v>OTE, a.s.</v>
      </c>
      <c r="D49" s="289"/>
      <c r="E49" s="72" t="str">
        <f>_xlfn.CONCAT(_xlfn.XLOOKUP("[S02_RegistryAdministrator][1][RegAdminAbbreviation]",Submission!$O:$O,Submission!$H:$N,""))</f>
        <v>OTE</v>
      </c>
      <c r="F49" s="177" t="str">
        <f>_xlfn.CONCAT(_xlfn.XLOOKUP("[S02_RegistryAdministrator][1][RegAdminTelephone]",Submission!$O:$O,Submission!$H:$N,""))</f>
        <v>420296579332</v>
      </c>
      <c r="G49" s="77" t="str">
        <f>_xlfn.CONCAT(_xlfn.XLOOKUP("[S02_RegistryAdministrator][1][RegAdminEmail]",Submission!$O:$O,Submission!$H:$N,""))</f>
        <v>povolenky@ote-cr.cz</v>
      </c>
      <c r="H49" s="292" t="str">
        <f>_xlfn.CONCAT(_xlfn.XLOOKUP("[S02_RegistryAdministrator][1][RegAdminWebsite]",Submission!$O:$O,Submission!$H:$N,""))</f>
        <v>www.povolenky.cz</v>
      </c>
      <c r="I49" s="293"/>
    </row>
    <row r="50" spans="1:9" s="58" customFormat="1" ht="15.9" customHeight="1" x14ac:dyDescent="0.3">
      <c r="A50" s="75"/>
    </row>
    <row r="51" spans="1:9" s="58" customFormat="1" ht="15.9" customHeight="1" x14ac:dyDescent="0.3">
      <c r="A51" s="57" t="s">
        <v>18</v>
      </c>
      <c r="B51" s="277" t="s">
        <v>682</v>
      </c>
      <c r="C51" s="265"/>
      <c r="D51" s="265"/>
      <c r="E51" s="265"/>
      <c r="F51" s="265"/>
      <c r="G51" s="265"/>
      <c r="H51" s="265"/>
      <c r="I51" s="265"/>
    </row>
    <row r="52" spans="1:9" s="79" customFormat="1" ht="13.2" customHeight="1" x14ac:dyDescent="0.3">
      <c r="A52" s="78"/>
      <c r="C52" s="281" t="s">
        <v>683</v>
      </c>
      <c r="D52" s="281"/>
      <c r="E52" s="281"/>
      <c r="F52" s="281"/>
      <c r="G52" s="281"/>
      <c r="H52" s="281"/>
      <c r="I52" s="281"/>
    </row>
    <row r="53" spans="1:9" s="79" customFormat="1" ht="14.4" x14ac:dyDescent="0.3">
      <c r="A53" s="78"/>
      <c r="C53" s="269" t="s">
        <v>684</v>
      </c>
      <c r="D53" s="270"/>
      <c r="E53" s="271"/>
      <c r="F53" s="282" t="s">
        <v>74</v>
      </c>
      <c r="G53" s="282"/>
      <c r="H53" s="282" t="s">
        <v>685</v>
      </c>
      <c r="I53" s="282"/>
    </row>
    <row r="54" spans="1:9" s="79" customFormat="1" ht="28.95" customHeight="1" x14ac:dyDescent="0.3">
      <c r="A54" s="78"/>
      <c r="C54" s="251" t="s">
        <v>686</v>
      </c>
      <c r="D54" s="272"/>
      <c r="E54" s="273"/>
      <c r="F54" s="255" t="str">
        <f>_xlfn.CONCAT(_xlfn.XLOOKUP("[S02_CompetentAuthorityRoles][1][CAForInstallationTask]",Submission!$O:$O,Submission!$H:$N,""))</f>
        <v>MoE</v>
      </c>
      <c r="G54" s="256"/>
      <c r="H54" s="261"/>
      <c r="I54" s="261"/>
    </row>
    <row r="55" spans="1:9" s="79" customFormat="1" ht="28.95" customHeight="1" x14ac:dyDescent="0.3">
      <c r="A55" s="78"/>
      <c r="C55" s="251" t="s">
        <v>687</v>
      </c>
      <c r="D55" s="272"/>
      <c r="E55" s="273"/>
      <c r="F55" s="255" t="str">
        <f>_xlfn.CONCAT(_xlfn.XLOOKUP("[S02_CompetentAuthorityRoles][2][CAForInstallationTask]",Submission!$O:$O,Submission!$H:$N,""))</f>
        <v>MoE</v>
      </c>
      <c r="G55" s="256"/>
      <c r="H55" s="261"/>
      <c r="I55" s="261"/>
    </row>
    <row r="56" spans="1:9" s="79" customFormat="1" ht="28.95" customHeight="1" x14ac:dyDescent="0.3">
      <c r="A56" s="78"/>
      <c r="C56" s="251" t="s">
        <v>688</v>
      </c>
      <c r="D56" s="272"/>
      <c r="E56" s="273"/>
      <c r="F56" s="255" t="str">
        <f>_xlfn.CONCAT(_xlfn.XLOOKUP("[S02_CompetentAuthorityRoles][3][CAForInstallationTask]",Submission!$O:$O,Submission!$H:$N,""))</f>
        <v>MoE</v>
      </c>
      <c r="G56" s="256"/>
      <c r="H56" s="261"/>
      <c r="I56" s="261"/>
    </row>
    <row r="57" spans="1:9" s="79" customFormat="1" ht="28.95" customHeight="1" x14ac:dyDescent="0.3">
      <c r="A57" s="78"/>
      <c r="C57" s="251" t="s">
        <v>689</v>
      </c>
      <c r="D57" s="272"/>
      <c r="E57" s="273"/>
      <c r="F57" s="255" t="str">
        <f>_xlfn.CONCAT(_xlfn.XLOOKUP("[S02_CompetentAuthorityRoles][4][CAForInstallationTask]",Submission!$O:$O,Submission!$H:$N,""))</f>
        <v>MoE</v>
      </c>
      <c r="G57" s="256"/>
      <c r="H57" s="261"/>
      <c r="I57" s="261"/>
    </row>
    <row r="58" spans="1:9" s="79" customFormat="1" ht="28.95" customHeight="1" x14ac:dyDescent="0.3">
      <c r="A58" s="78"/>
      <c r="C58" s="251" t="s">
        <v>690</v>
      </c>
      <c r="D58" s="272"/>
      <c r="E58" s="273"/>
      <c r="F58" s="261"/>
      <c r="G58" s="261"/>
      <c r="H58" s="255" t="str">
        <f>_xlfn.CONCAT(_xlfn.XLOOKUP("[S02_CompetentAuthorityRoles][5][CAForAviationTask]",Submission!$O:$O,Submission!$H:$N,""))</f>
        <v>MoE</v>
      </c>
      <c r="I58" s="256"/>
    </row>
    <row r="59" spans="1:9" s="79" customFormat="1" ht="28.95" customHeight="1" x14ac:dyDescent="0.3">
      <c r="A59" s="78"/>
      <c r="C59" s="251" t="s">
        <v>691</v>
      </c>
      <c r="D59" s="272"/>
      <c r="E59" s="273"/>
      <c r="F59" s="255" t="str">
        <f>_xlfn.CONCAT(_xlfn.XLOOKUP("[S02_CompetentAuthorityRoles][6][CAForInstallationTask]",Submission!$O:$O,Submission!$H:$N,""))</f>
        <v>OTE</v>
      </c>
      <c r="G59" s="256"/>
      <c r="H59" s="255" t="str">
        <f>_xlfn.CONCAT(_xlfn.XLOOKUP("[S02_CompetentAuthorityRoles][6][CAForAviationTask]",Submission!$O:$O,Submission!$H:$N,""))</f>
        <v>OTE</v>
      </c>
      <c r="I59" s="256"/>
    </row>
    <row r="60" spans="1:9" s="79" customFormat="1" ht="28.95" customHeight="1" x14ac:dyDescent="0.3">
      <c r="A60" s="78"/>
      <c r="C60" s="251" t="s">
        <v>42</v>
      </c>
      <c r="D60" s="272"/>
      <c r="E60" s="273"/>
      <c r="F60" s="255" t="str">
        <f>_xlfn.CONCAT(_xlfn.XLOOKUP("[S02_CompetentAuthorityRoles][7][CAForInstallationTask]",Submission!$O:$O,Submission!$H:$N,""))</f>
        <v>MoE, OTE</v>
      </c>
      <c r="G60" s="256"/>
      <c r="H60" s="255" t="str">
        <f>_xlfn.CONCAT(_xlfn.XLOOKUP("[S02_CompetentAuthorityRoles][7][CAForAviationTask]",Submission!$O:$O,Submission!$H:$N,""))</f>
        <v>MoE, OTE</v>
      </c>
      <c r="I60" s="256"/>
    </row>
    <row r="61" spans="1:9" s="79" customFormat="1" ht="28.95" customHeight="1" x14ac:dyDescent="0.3">
      <c r="A61" s="78"/>
      <c r="C61" s="251" t="s">
        <v>692</v>
      </c>
      <c r="D61" s="272"/>
      <c r="E61" s="273"/>
      <c r="F61" s="255" t="str">
        <f>_xlfn.CONCAT(_xlfn.XLOOKUP("[S02_CompetentAuthorityRoles][8][CAForInstallationTask]",Submission!$O:$O,Submission!$H:$N,""))</f>
        <v>MoE</v>
      </c>
      <c r="G61" s="256"/>
      <c r="H61" s="255" t="str">
        <f>_xlfn.CONCAT(_xlfn.XLOOKUP("[S02_CompetentAuthorityRoles][8][CAForAviationTask]",Submission!$O:$O,Submission!$H:$N,""))</f>
        <v>MoE</v>
      </c>
      <c r="I61" s="256"/>
    </row>
    <row r="62" spans="1:9" s="79" customFormat="1" ht="28.95" customHeight="1" x14ac:dyDescent="0.3">
      <c r="A62" s="78"/>
      <c r="C62" s="251" t="s">
        <v>693</v>
      </c>
      <c r="D62" s="272"/>
      <c r="E62" s="273"/>
      <c r="F62" s="255" t="str">
        <f>_xlfn.CONCAT(_xlfn.XLOOKUP("[S02_CompetentAuthorityRoles][9][CAForInstallationTask]",Submission!$O:$O,Submission!$H:$N,""))</f>
        <v>MoE</v>
      </c>
      <c r="G62" s="256"/>
      <c r="H62" s="255" t="str">
        <f>_xlfn.CONCAT(_xlfn.XLOOKUP("[S02_CompetentAuthorityRoles][9][CAForAviationTask]",Submission!$O:$O,Submission!$H:$N,""))</f>
        <v>MoE</v>
      </c>
      <c r="I62" s="256"/>
    </row>
    <row r="63" spans="1:9" s="79" customFormat="1" ht="28.95" customHeight="1" x14ac:dyDescent="0.3">
      <c r="A63" s="78"/>
      <c r="C63" s="251" t="s">
        <v>694</v>
      </c>
      <c r="D63" s="272"/>
      <c r="E63" s="273"/>
      <c r="F63" s="255" t="str">
        <f>_xlfn.CONCAT(_xlfn.XLOOKUP("[S02_CompetentAuthorityRoles][10][CAForInstallationTask]",Submission!$O:$O,Submission!$H:$N,""))</f>
        <v>MoE</v>
      </c>
      <c r="G63" s="256"/>
      <c r="H63" s="255" t="str">
        <f>_xlfn.CONCAT(_xlfn.XLOOKUP("[S02_CompetentAuthorityRoles][10][CAForAviationTask]",Submission!$O:$O,Submission!$H:$N,""))</f>
        <v>MoE</v>
      </c>
      <c r="I63" s="256"/>
    </row>
    <row r="64" spans="1:9" s="79" customFormat="1" ht="28.95" customHeight="1" x14ac:dyDescent="0.3">
      <c r="A64" s="78"/>
      <c r="C64" s="251" t="s">
        <v>46</v>
      </c>
      <c r="D64" s="272"/>
      <c r="E64" s="273"/>
      <c r="F64" s="255" t="str">
        <f>_xlfn.CONCAT(_xlfn.XLOOKUP("[S02_CompetentAuthorityRoles][11][CAForInstallationTask]",Submission!$O:$O,Submission!$H:$N,""))</f>
        <v>CIZP</v>
      </c>
      <c r="G64" s="256"/>
      <c r="H64" s="255" t="str">
        <f>_xlfn.CONCAT(_xlfn.XLOOKUP("[S02_CompetentAuthorityRoles][11][CAForAviationTask]",Submission!$O:$O,Submission!$H:$N,""))</f>
        <v>CIZP</v>
      </c>
      <c r="I64" s="256"/>
    </row>
    <row r="65" spans="1:9" s="79" customFormat="1" ht="28.95" customHeight="1" x14ac:dyDescent="0.3">
      <c r="A65" s="78"/>
      <c r="C65" s="251" t="s">
        <v>695</v>
      </c>
      <c r="D65" s="272"/>
      <c r="E65" s="273"/>
      <c r="F65" s="255" t="str">
        <f>_xlfn.CONCAT(_xlfn.XLOOKUP("[S02_CompetentAuthorityRoles][12][CAForInstallationTask]",Submission!$O:$O,Submission!$H:$N,""))</f>
        <v/>
      </c>
      <c r="G65" s="256"/>
      <c r="H65" s="261"/>
      <c r="I65" s="261"/>
    </row>
    <row r="66" spans="1:9" s="79" customFormat="1" ht="28.95" customHeight="1" x14ac:dyDescent="0.3">
      <c r="A66" s="78"/>
      <c r="C66" s="251" t="s">
        <v>696</v>
      </c>
      <c r="D66" s="272"/>
      <c r="E66" s="273"/>
      <c r="F66" s="255" t="str">
        <f>_xlfn.CONCAT(_xlfn.XLOOKUP("[S02_CompetentAuthorityRoles][13][CAForInstallationTask]",Submission!$O:$O,Submission!$H:$N,""))</f>
        <v>MoE</v>
      </c>
      <c r="G66" s="256"/>
      <c r="H66" s="261"/>
      <c r="I66" s="261"/>
    </row>
    <row r="67" spans="1:9" s="79" customFormat="1" ht="28.95" customHeight="1" x14ac:dyDescent="0.3">
      <c r="A67" s="78"/>
      <c r="C67" s="80" t="s">
        <v>697</v>
      </c>
      <c r="D67" s="254" t="str">
        <f>_xlfn.CONCAT(_xlfn.XLOOKUP("[S02_CompetentAuthorityRoles][14][OtherDescription]",Submission!$O:$O,Submission!$H:$N,""))</f>
        <v/>
      </c>
      <c r="E67" s="254"/>
      <c r="F67" s="255" t="str">
        <f>_xlfn.CONCAT(_xlfn.XLOOKUP("[S02_CompetentAuthorityRoles][14][CAForInstallationTask]",Submission!$O:$O,Submission!$H:$N,""))</f>
        <v/>
      </c>
      <c r="G67" s="256"/>
      <c r="H67" s="255" t="str">
        <f>_xlfn.CONCAT(_xlfn.XLOOKUP("[S02_CompetentAuthorityRoles][14][CAForAviationTask]",Submission!$O:$O,Submission!$H:$N,""))</f>
        <v/>
      </c>
      <c r="I67" s="256"/>
    </row>
    <row r="68" spans="1:9" s="79" customFormat="1" ht="28.95" hidden="1" customHeight="1" outlineLevel="1" x14ac:dyDescent="0.3">
      <c r="A68" s="78"/>
      <c r="C68" s="80" t="s">
        <v>697</v>
      </c>
      <c r="D68" s="254" t="str">
        <f>_xlfn.CONCAT(_xlfn.XLOOKUP("[S02_CompetentAuthorityRoles][15][OtherDescription]",Submission!$O:$O,Submission!$H:$N,""))</f>
        <v/>
      </c>
      <c r="E68" s="254"/>
      <c r="F68" s="255" t="str">
        <f>_xlfn.CONCAT(_xlfn.XLOOKUP("[S02_CompetentAuthorityRoles][15][CAForInstallationTask]",Submission!$O:$O,Submission!$H:$N,""))</f>
        <v/>
      </c>
      <c r="G68" s="256"/>
      <c r="H68" s="255" t="str">
        <f>_xlfn.CONCAT(_xlfn.XLOOKUP("[S02_CompetentAuthorityRoles][15][CAForAviationTask]",Submission!$O:$O,Submission!$H:$N,""))</f>
        <v/>
      </c>
      <c r="I68" s="256"/>
    </row>
    <row r="69" spans="1:9" s="79" customFormat="1" ht="28.95" hidden="1" customHeight="1" outlineLevel="1" x14ac:dyDescent="0.3">
      <c r="A69" s="78"/>
      <c r="C69" s="80" t="s">
        <v>697</v>
      </c>
      <c r="D69" s="254" t="str">
        <f>_xlfn.CONCAT(_xlfn.XLOOKUP("[S02_CompetentAuthorityRoles][16][OtherDescription]",Submission!$O:$O,Submission!$H:$N,""))</f>
        <v/>
      </c>
      <c r="E69" s="254"/>
      <c r="F69" s="255" t="str">
        <f>_xlfn.CONCAT(_xlfn.XLOOKUP("[S02_CompetentAuthorityRoles][16][CAForInstallationTask]",Submission!$O:$O,Submission!$H:$N,""))</f>
        <v/>
      </c>
      <c r="G69" s="256"/>
      <c r="H69" s="255" t="str">
        <f>_xlfn.CONCAT(_xlfn.XLOOKUP("[S02_CompetentAuthorityRoles][16][CAForAviationTask]",Submission!$O:$O,Submission!$H:$N,""))</f>
        <v/>
      </c>
      <c r="I69" s="256"/>
    </row>
    <row r="70" spans="1:9" s="79" customFormat="1" ht="28.95" hidden="1" customHeight="1" outlineLevel="1" x14ac:dyDescent="0.3">
      <c r="A70" s="78"/>
      <c r="C70" s="80" t="s">
        <v>697</v>
      </c>
      <c r="D70" s="254" t="str">
        <f>_xlfn.CONCAT(_xlfn.XLOOKUP("[S02_CompetentAuthorityRoles][17][OtherDescription]",Submission!$O:$O,Submission!$H:$N,""))</f>
        <v/>
      </c>
      <c r="E70" s="254"/>
      <c r="F70" s="255" t="str">
        <f>_xlfn.CONCAT(_xlfn.XLOOKUP("[S02_CompetentAuthorityRoles][17][CAForInstallationTask]",Submission!$O:$O,Submission!$H:$N,""))</f>
        <v/>
      </c>
      <c r="G70" s="256"/>
      <c r="H70" s="255" t="str">
        <f>_xlfn.CONCAT(_xlfn.XLOOKUP("[S02_CompetentAuthorityRoles][17][CAForAviationTask]",Submission!$O:$O,Submission!$H:$N,""))</f>
        <v/>
      </c>
      <c r="I70" s="256"/>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2" t="s">
        <v>698</v>
      </c>
      <c r="D72" s="263"/>
      <c r="E72" s="263"/>
      <c r="F72" s="263"/>
      <c r="G72" s="263"/>
      <c r="H72" s="263"/>
      <c r="I72" s="263"/>
    </row>
    <row r="73" spans="1:9" s="79" customFormat="1" ht="29.25" customHeight="1" x14ac:dyDescent="0.3">
      <c r="A73" s="78"/>
      <c r="B73" s="73"/>
      <c r="C73" s="262" t="s">
        <v>699</v>
      </c>
      <c r="D73" s="263"/>
      <c r="E73" s="263"/>
      <c r="F73" s="263"/>
      <c r="G73" s="263"/>
      <c r="H73" s="263"/>
      <c r="I73" s="263"/>
    </row>
    <row r="74" spans="1:9" s="79" customFormat="1" ht="29.25" customHeight="1" x14ac:dyDescent="0.3">
      <c r="A74" s="78"/>
      <c r="B74" s="73"/>
      <c r="C74" s="262" t="s">
        <v>700</v>
      </c>
      <c r="D74" s="263"/>
      <c r="E74" s="263"/>
      <c r="F74" s="263"/>
      <c r="G74" s="263"/>
      <c r="H74" s="263"/>
      <c r="I74" s="263"/>
    </row>
    <row r="75" spans="1:9" s="79" customFormat="1" ht="29.25" customHeight="1" x14ac:dyDescent="0.3">
      <c r="A75" s="78"/>
      <c r="B75" s="73"/>
      <c r="C75" s="262" t="s">
        <v>701</v>
      </c>
      <c r="D75" s="263"/>
      <c r="E75" s="263"/>
      <c r="F75" s="263"/>
      <c r="G75" s="263"/>
      <c r="H75" s="263"/>
      <c r="I75" s="263"/>
    </row>
    <row r="76" spans="1:9" s="79" customFormat="1" ht="17.25" customHeight="1" x14ac:dyDescent="0.3">
      <c r="A76" s="78"/>
      <c r="C76" s="262" t="s">
        <v>702</v>
      </c>
      <c r="D76" s="263"/>
      <c r="E76" s="263"/>
      <c r="F76" s="263"/>
      <c r="G76" s="263"/>
      <c r="H76" s="263"/>
      <c r="I76" s="263"/>
    </row>
    <row r="77" spans="1:9" s="79" customFormat="1" ht="17.25" customHeight="1" x14ac:dyDescent="0.3">
      <c r="A77" s="78"/>
      <c r="C77" s="262" t="s">
        <v>703</v>
      </c>
      <c r="D77" s="263"/>
      <c r="E77" s="263"/>
      <c r="F77" s="263"/>
      <c r="G77" s="263"/>
      <c r="H77" s="263"/>
      <c r="I77" s="263"/>
    </row>
    <row r="78" spans="1:9" s="79" customFormat="1" ht="12.9" customHeight="1" x14ac:dyDescent="0.3">
      <c r="A78" s="78"/>
    </row>
    <row r="79" spans="1:9" s="79" customFormat="1" ht="37.200000000000003" customHeight="1" x14ac:dyDescent="0.3">
      <c r="A79" s="57" t="s">
        <v>48</v>
      </c>
      <c r="B79" s="264" t="s">
        <v>704</v>
      </c>
      <c r="C79" s="265"/>
      <c r="D79" s="265"/>
      <c r="E79" s="265"/>
      <c r="F79" s="265"/>
      <c r="G79" s="265"/>
      <c r="H79" s="265"/>
      <c r="I79" s="265"/>
    </row>
    <row r="80" spans="1:9" s="79" customFormat="1" ht="28.95" customHeight="1" x14ac:dyDescent="0.3">
      <c r="A80" s="57"/>
      <c r="B80" s="65"/>
      <c r="C80" s="262" t="s">
        <v>705</v>
      </c>
      <c r="D80" s="263"/>
      <c r="E80" s="263"/>
      <c r="F80" s="263"/>
      <c r="G80" s="263"/>
      <c r="H80" s="263"/>
      <c r="I80" s="263"/>
    </row>
    <row r="81" spans="1:9" s="79" customFormat="1" ht="27" customHeight="1" x14ac:dyDescent="0.3">
      <c r="C81" s="269" t="s">
        <v>706</v>
      </c>
      <c r="D81" s="270"/>
      <c r="E81" s="270"/>
      <c r="F81" s="271"/>
      <c r="G81" s="266" t="s">
        <v>663</v>
      </c>
      <c r="H81" s="267"/>
      <c r="I81" s="268"/>
    </row>
    <row r="82" spans="1:9" s="79" customFormat="1" ht="12.9" customHeight="1" x14ac:dyDescent="0.3">
      <c r="A82" s="78"/>
      <c r="C82" s="254" t="str">
        <f>_xlfn.CONCAT(_xlfn.XLOOKUP("[S02_CAFocalPoint][0][CAArt70]",Submission!$O:$O,Submission!$H:$N,""))</f>
        <v>Ministry of the Environment</v>
      </c>
      <c r="D82" s="254"/>
      <c r="E82" s="254"/>
      <c r="F82" s="254"/>
      <c r="G82" s="254" t="str">
        <f>_xlfn.CONCAT(_xlfn.XLOOKUP("[S02_CAFocalPoint][0][CAArt70Abbrev]",Submission!$O:$O,Submission!$H:$N,""))</f>
        <v>MoE</v>
      </c>
      <c r="H82" s="254"/>
      <c r="I82" s="254"/>
    </row>
    <row r="83" spans="1:9" s="79" customFormat="1" ht="12.9" customHeight="1" x14ac:dyDescent="0.3">
      <c r="A83" s="78"/>
    </row>
    <row r="84" spans="1:9" s="79" customFormat="1" ht="34.950000000000003" customHeight="1" x14ac:dyDescent="0.3">
      <c r="A84" s="78"/>
      <c r="B84" s="264" t="s">
        <v>707</v>
      </c>
      <c r="C84" s="265"/>
      <c r="D84" s="265"/>
      <c r="E84" s="265"/>
      <c r="F84" s="265"/>
      <c r="G84" s="265"/>
      <c r="H84" s="265"/>
      <c r="I84" s="265"/>
    </row>
    <row r="85" spans="1:9" s="79" customFormat="1" ht="15" customHeight="1" x14ac:dyDescent="0.3">
      <c r="A85" s="78"/>
      <c r="C85" s="269" t="s">
        <v>708</v>
      </c>
      <c r="D85" s="270"/>
      <c r="E85" s="270"/>
      <c r="F85" s="271"/>
      <c r="G85" s="67" t="s">
        <v>709</v>
      </c>
      <c r="H85" s="269" t="s">
        <v>710</v>
      </c>
      <c r="I85" s="271"/>
    </row>
    <row r="86" spans="1:9" s="79" customFormat="1" ht="24.6" customHeight="1" x14ac:dyDescent="0.3">
      <c r="A86" s="78"/>
      <c r="C86" s="249" t="s">
        <v>711</v>
      </c>
      <c r="D86" s="272"/>
      <c r="E86" s="272"/>
      <c r="F86" s="273"/>
      <c r="G86" s="64" t="str">
        <f>_xlfn.CONCAT(_xlfn.XLOOKUP("[S02_CompetentAuthorityCoordination][1][CACoordinationYesNo]",Submission!$O:$O,Submission!$H:$N,""))</f>
        <v>No</v>
      </c>
      <c r="H86" s="258" t="str">
        <f>_xlfn.CONCAT(_xlfn.XLOOKUP("[S02_CompetentAuthorityCoordination][1][CACoordinationComment]",Submission!$O:$O,Submission!$H:$N,""))</f>
        <v>Not relevant</v>
      </c>
      <c r="I86" s="260"/>
    </row>
    <row r="87" spans="1:9" s="79" customFormat="1" ht="23.4" customHeight="1" x14ac:dyDescent="0.3">
      <c r="A87" s="78"/>
      <c r="C87" s="249" t="s">
        <v>712</v>
      </c>
      <c r="D87" s="272"/>
      <c r="E87" s="272"/>
      <c r="F87" s="273"/>
      <c r="G87" s="64" t="str">
        <f>_xlfn.CONCAT(_xlfn.XLOOKUP("[S02_CompetentAuthorityCoordination][2][CACoordinationYesNo]",Submission!$O:$O,Submission!$H:$N,""))</f>
        <v>No</v>
      </c>
      <c r="H87" s="258" t="str">
        <f>_xlfn.CONCAT(_xlfn.XLOOKUP("[S02_CompetentAuthorityCoordination][2][CACoordinationComment]",Submission!$O:$O,Submission!$H:$N,""))</f>
        <v>Not relevant</v>
      </c>
      <c r="I87" s="260"/>
    </row>
    <row r="88" spans="1:9" s="79" customFormat="1" ht="23.4" customHeight="1" x14ac:dyDescent="0.3">
      <c r="A88" s="78"/>
      <c r="C88" s="249" t="s">
        <v>713</v>
      </c>
      <c r="D88" s="272"/>
      <c r="E88" s="272"/>
      <c r="F88" s="273"/>
      <c r="G88" s="64" t="str">
        <f>_xlfn.CONCAT(_xlfn.XLOOKUP("[S02_CompetentAuthorityCoordination][3][CACoordinationYesNo]",Submission!$O:$O,Submission!$H:$N,""))</f>
        <v>No</v>
      </c>
      <c r="H88" s="258" t="str">
        <f>_xlfn.CONCAT(_xlfn.XLOOKUP("[S02_CompetentAuthorityCoordination][3][CACoordinationComment]",Submission!$O:$O,Submission!$H:$N,""))</f>
        <v>Not relevant</v>
      </c>
      <c r="I88" s="260"/>
    </row>
    <row r="89" spans="1:9" s="79" customFormat="1" ht="23.4" customHeight="1" x14ac:dyDescent="0.3">
      <c r="A89" s="78"/>
      <c r="C89" s="249" t="s">
        <v>60</v>
      </c>
      <c r="D89" s="272"/>
      <c r="E89" s="272"/>
      <c r="F89" s="273"/>
      <c r="G89" s="64" t="str">
        <f>_xlfn.CONCAT(_xlfn.XLOOKUP("[S02_CompetentAuthorityCoordination][4][CACoordinationYesNo]",Submission!$O:$O,Submission!$H:$N,""))</f>
        <v>No</v>
      </c>
      <c r="H89" s="258" t="str">
        <f>_xlfn.CONCAT(_xlfn.XLOOKUP("[S02_CompetentAuthorityCoordination][4][CACoordinationComment]",Submission!$O:$O,Submission!$H:$N,""))</f>
        <v>Not relevant</v>
      </c>
      <c r="I89" s="260"/>
    </row>
    <row r="90" spans="1:9" s="79" customFormat="1" ht="23.4" customHeight="1" x14ac:dyDescent="0.3">
      <c r="A90" s="78"/>
      <c r="C90" s="249" t="s">
        <v>714</v>
      </c>
      <c r="D90" s="272"/>
      <c r="E90" s="272"/>
      <c r="F90" s="273"/>
      <c r="G90" s="64" t="str">
        <f>_xlfn.CONCAT(_xlfn.XLOOKUP("[S02_CompetentAuthorityCoordination][5][CACoordinationYesNo]",Submission!$O:$O,Submission!$H:$N,""))</f>
        <v>No</v>
      </c>
      <c r="H90" s="258" t="str">
        <f>_xlfn.CONCAT(_xlfn.XLOOKUP("[S02_CompetentAuthorityCoordination][5][CACoordinationComment]",Submission!$O:$O,Submission!$H:$N,""))</f>
        <v>Not relevant</v>
      </c>
      <c r="I90" s="260"/>
    </row>
    <row r="91" spans="1:9" s="79" customFormat="1" ht="24.6" customHeight="1" x14ac:dyDescent="0.3">
      <c r="A91" s="78"/>
      <c r="C91" s="249" t="s">
        <v>715</v>
      </c>
      <c r="D91" s="272"/>
      <c r="E91" s="272"/>
      <c r="F91" s="273"/>
      <c r="G91" s="64" t="str">
        <f>_xlfn.CONCAT(_xlfn.XLOOKUP("[S02_CompetentAuthorityCoordination][6][CACoordinationYesNo]",Submission!$O:$O,Submission!$H:$N,""))</f>
        <v>No</v>
      </c>
      <c r="H91" s="258" t="str">
        <f>_xlfn.CONCAT(_xlfn.XLOOKUP("[S02_CompetentAuthorityCoordination][6][CACoordinationComment]",Submission!$O:$O,Submission!$H:$N,""))</f>
        <v>Not relevant</v>
      </c>
      <c r="I91" s="260"/>
    </row>
    <row r="92" spans="1:9" s="79" customFormat="1" ht="23.4" customHeight="1" x14ac:dyDescent="0.3">
      <c r="A92" s="78"/>
      <c r="C92" s="249" t="s">
        <v>716</v>
      </c>
      <c r="D92" s="257"/>
      <c r="E92" s="250"/>
      <c r="F92" s="258" t="str">
        <f>_xlfn.CONCAT(_xlfn.XLOOKUP("[S02_CompetentAuthorityCoordination][7][OtherDescription]",Submission!$O:$O,Submission!$H:$N,""))</f>
        <v/>
      </c>
      <c r="G92" s="259"/>
      <c r="H92" s="258" t="str">
        <f>_xlfn.CONCAT(_xlfn.XLOOKUP("[S02_CompetentAuthorityCoordination][7][CACoordinationComment]",Submission!$O:$O,Submission!$H:$N,""))</f>
        <v/>
      </c>
      <c r="I92" s="260"/>
    </row>
    <row r="93" spans="1:9" s="79" customFormat="1" ht="23.4" hidden="1" customHeight="1" outlineLevel="1" x14ac:dyDescent="0.3">
      <c r="A93" s="78"/>
      <c r="C93" s="249" t="s">
        <v>716</v>
      </c>
      <c r="D93" s="257"/>
      <c r="E93" s="250"/>
      <c r="F93" s="258" t="str">
        <f>_xlfn.CONCAT(_xlfn.XLOOKUP("[S02_CompetentAuthorityCoordination][8][OtherDescription]",Submission!$O:$O,Submission!$H:$N,""))</f>
        <v/>
      </c>
      <c r="G93" s="259"/>
      <c r="H93" s="258" t="str">
        <f>_xlfn.CONCAT(_xlfn.XLOOKUP("[S02_CompetentAuthorityCoordination][8][CACoordinationComment]",Submission!$O:$O,Submission!$H:$N,""))</f>
        <v/>
      </c>
      <c r="I93" s="260"/>
    </row>
    <row r="94" spans="1:9" s="79" customFormat="1" ht="23.4" hidden="1" customHeight="1" outlineLevel="1" x14ac:dyDescent="0.3">
      <c r="A94" s="78"/>
      <c r="C94" s="249" t="s">
        <v>716</v>
      </c>
      <c r="D94" s="257"/>
      <c r="E94" s="250"/>
      <c r="F94" s="258" t="str">
        <f>_xlfn.CONCAT(_xlfn.XLOOKUP("[S02_CompetentAuthorityCoordination][9][OtherDescription]",Submission!$O:$O,Submission!$H:$N,""))</f>
        <v/>
      </c>
      <c r="G94" s="259"/>
      <c r="H94" s="258" t="str">
        <f>_xlfn.CONCAT(_xlfn.XLOOKUP("[S02_CompetentAuthorityCoordination][9][CACoordinationComment]",Submission!$O:$O,Submission!$H:$N,""))</f>
        <v/>
      </c>
      <c r="I94" s="260"/>
    </row>
    <row r="95" spans="1:9" s="79" customFormat="1" ht="23.4" hidden="1" customHeight="1" outlineLevel="1" x14ac:dyDescent="0.3">
      <c r="A95" s="78"/>
      <c r="C95" s="249" t="s">
        <v>716</v>
      </c>
      <c r="D95" s="257"/>
      <c r="E95" s="250"/>
      <c r="F95" s="258" t="str">
        <f>_xlfn.CONCAT(_xlfn.XLOOKUP("[S02_CompetentAuthorityCoordination][10][OtherDescription]",Submission!$O:$O,Submission!$H:$N,""))</f>
        <v/>
      </c>
      <c r="G95" s="259"/>
      <c r="H95" s="258" t="str">
        <f>_xlfn.CONCAT(_xlfn.XLOOKUP("[S02_CompetentAuthorityCoordination][10][CACoordinationComment]",Submission!$O:$O,Submission!$H:$N,""))</f>
        <v/>
      </c>
      <c r="I95" s="260"/>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5" t="s">
        <v>717</v>
      </c>
      <c r="C98" s="276"/>
      <c r="D98" s="276"/>
      <c r="E98" s="276"/>
      <c r="F98" s="276"/>
      <c r="G98" s="276"/>
      <c r="H98" s="276"/>
      <c r="I98" s="276"/>
    </row>
    <row r="99" spans="1:9" s="79" customFormat="1" ht="15" customHeight="1" x14ac:dyDescent="0.3">
      <c r="A99" s="78"/>
      <c r="C99" s="269" t="s">
        <v>718</v>
      </c>
      <c r="D99" s="270"/>
      <c r="E99" s="270"/>
      <c r="F99" s="271"/>
      <c r="G99" s="67" t="s">
        <v>709</v>
      </c>
      <c r="H99" s="269" t="s">
        <v>710</v>
      </c>
      <c r="I99" s="271"/>
    </row>
    <row r="100" spans="1:9" s="79" customFormat="1" ht="27.6" customHeight="1" x14ac:dyDescent="0.3">
      <c r="A100" s="78"/>
      <c r="C100" s="249" t="s">
        <v>719</v>
      </c>
      <c r="D100" s="257"/>
      <c r="E100" s="257"/>
      <c r="F100" s="250"/>
      <c r="G100" s="64" t="str">
        <f>_xlfn.CONCAT(_xlfn.XLOOKUP("[S02_InformationExchangeAccBodyAndCA][1][InfoExchangeYesNo]",Submission!$O:$O,Submission!$H:$N,""))</f>
        <v>No</v>
      </c>
      <c r="H100" s="274" t="str">
        <f>_xlfn.CONCAT(_xlfn.XLOOKUP("[S02_InformationExchangeAccBodyAndCA][1][InfoExchangeComment]",Submission!$O:$O,Submission!$H:$N,""))</f>
        <v>Ad hoc meetings</v>
      </c>
      <c r="I100" s="259"/>
    </row>
    <row r="101" spans="1:9" s="79" customFormat="1" ht="27.6" customHeight="1" x14ac:dyDescent="0.3">
      <c r="A101" s="78"/>
      <c r="C101" s="249" t="s">
        <v>720</v>
      </c>
      <c r="D101" s="257"/>
      <c r="E101" s="257"/>
      <c r="F101" s="250"/>
      <c r="G101" s="64" t="str">
        <f>_xlfn.CONCAT(_xlfn.XLOOKUP("[S02_InformationExchangeAccBodyAndCA][2][InfoExchangeYesNo]",Submission!$O:$O,Submission!$H:$N,""))</f>
        <v>Yes</v>
      </c>
      <c r="H101" s="274" t="str">
        <f>_xlfn.CONCAT(_xlfn.XLOOKUP("[S02_InformationExchangeAccBodyAndCA][2][InfoExchangeComment]",Submission!$O:$O,Submission!$H:$N,""))</f>
        <v>Technical Committee on Accreditation of GHG
Reports Verifiers (CAI + verifiers + MoE +
operators and/or industry groupings)</v>
      </c>
      <c r="I101" s="259"/>
    </row>
    <row r="102" spans="1:9" s="79" customFormat="1" ht="27.6" customHeight="1" x14ac:dyDescent="0.3">
      <c r="A102" s="78"/>
      <c r="C102" s="249" t="s">
        <v>721</v>
      </c>
      <c r="D102" s="257"/>
      <c r="E102" s="257"/>
      <c r="F102" s="250"/>
      <c r="G102" s="64" t="str">
        <f>_xlfn.CONCAT(_xlfn.XLOOKUP("[S02_InformationExchangeAccBodyAndCA][3][InfoExchangeYesNo]",Submission!$O:$O,Submission!$H:$N,""))</f>
        <v>Yes</v>
      </c>
      <c r="H102" s="274" t="str">
        <f>_xlfn.CONCAT(_xlfn.XLOOKUP("[S02_InformationExchangeAccBodyAndCA][3][InfoExchangeComment]",Submission!$O:$O,Submission!$H:$N,""))</f>
        <v/>
      </c>
      <c r="I102" s="259"/>
    </row>
    <row r="103" spans="1:9" s="79" customFormat="1" ht="27.6" customHeight="1" x14ac:dyDescent="0.3">
      <c r="A103" s="78"/>
      <c r="C103" s="249" t="s">
        <v>716</v>
      </c>
      <c r="D103" s="257"/>
      <c r="E103" s="250"/>
      <c r="F103" s="258" t="str">
        <f>_xlfn.CONCAT(_xlfn.XLOOKUP("[S02_InformationExchangeAccBodyAndCA][4][OtherDescription]",Submission!$O:$O,Submission!$H:$N,""))</f>
        <v/>
      </c>
      <c r="G103" s="259"/>
      <c r="H103" s="274" t="str">
        <f>_xlfn.CONCAT(_xlfn.XLOOKUP("[S02_InformationExchangeAccBodyAndCA][4][InfoExchangeComment]",Submission!$O:$O,Submission!$H:$N,""))</f>
        <v/>
      </c>
      <c r="I103" s="259"/>
    </row>
    <row r="104" spans="1:9" s="79" customFormat="1" ht="27.6" hidden="1" customHeight="1" outlineLevel="1" x14ac:dyDescent="0.3">
      <c r="A104" s="78"/>
      <c r="C104" s="249" t="s">
        <v>716</v>
      </c>
      <c r="D104" s="257"/>
      <c r="E104" s="250"/>
      <c r="F104" s="258" t="str">
        <f>_xlfn.CONCAT(_xlfn.XLOOKUP("[S02_InformationExchangeAccBodyAndCA][5][OtherDescription]",Submission!$O:$O,Submission!$H:$N,""))</f>
        <v/>
      </c>
      <c r="G104" s="259"/>
      <c r="H104" s="274" t="str">
        <f>_xlfn.CONCAT(_xlfn.XLOOKUP("[S02_InformationExchangeAccBodyAndCA][5][InfoExchangeComment]",Submission!$O:$O,Submission!$H:$N,""))</f>
        <v/>
      </c>
      <c r="I104" s="259"/>
    </row>
    <row r="105" spans="1:9" s="79" customFormat="1" ht="27.6" hidden="1" customHeight="1" outlineLevel="1" x14ac:dyDescent="0.3">
      <c r="A105" s="78"/>
      <c r="C105" s="249" t="s">
        <v>716</v>
      </c>
      <c r="D105" s="257"/>
      <c r="E105" s="250"/>
      <c r="F105" s="258" t="str">
        <f>_xlfn.CONCAT(_xlfn.XLOOKUP("[S02_InformationExchangeAccBodyAndCA][6][OtherDescription]",Submission!$O:$O,Submission!$H:$N,""))</f>
        <v/>
      </c>
      <c r="G105" s="259"/>
      <c r="H105" s="274" t="str">
        <f>_xlfn.CONCAT(_xlfn.XLOOKUP("[S02_InformationExchangeAccBodyAndCA][6][InfoExchangeComment]",Submission!$O:$O,Submission!$H:$N,""))</f>
        <v/>
      </c>
      <c r="I105" s="259"/>
    </row>
    <row r="106" spans="1:9" s="79" customFormat="1" ht="27.6" hidden="1" customHeight="1" outlineLevel="1" x14ac:dyDescent="0.3">
      <c r="A106" s="78"/>
      <c r="C106" s="249" t="s">
        <v>716</v>
      </c>
      <c r="D106" s="257"/>
      <c r="E106" s="250"/>
      <c r="F106" s="258" t="str">
        <f>_xlfn.CONCAT(_xlfn.XLOOKUP("[S02_InformationExchangeAccBodyAndCA][7][OtherDescription]",Submission!$O:$O,Submission!$H:$N,""))</f>
        <v/>
      </c>
      <c r="G106" s="259"/>
      <c r="H106" s="274" t="str">
        <f>_xlfn.CONCAT(_xlfn.XLOOKUP("[S02_InformationExchangeAccBodyAndCA][7][InfoExchangeComment]",Submission!$O:$O,Submission!$H:$N,""))</f>
        <v/>
      </c>
      <c r="I106" s="259"/>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09" t="s">
        <v>722</v>
      </c>
      <c r="C3" s="309"/>
      <c r="D3" s="309"/>
      <c r="E3" s="309"/>
      <c r="F3" s="309"/>
      <c r="G3" s="309"/>
      <c r="H3" s="309"/>
      <c r="I3" s="309"/>
    </row>
    <row r="4" spans="1:9" s="7" customFormat="1" ht="18.899999999999999" customHeight="1" x14ac:dyDescent="0.35">
      <c r="A4" s="48" t="s">
        <v>723</v>
      </c>
      <c r="B4" s="310" t="s">
        <v>74</v>
      </c>
      <c r="C4" s="310"/>
      <c r="D4" s="310"/>
      <c r="E4" s="310"/>
      <c r="F4" s="310"/>
      <c r="G4" s="310"/>
      <c r="H4" s="310"/>
      <c r="I4" s="311"/>
    </row>
    <row r="5" spans="1:9" s="7" customFormat="1" ht="51" customHeight="1" x14ac:dyDescent="0.3">
      <c r="A5" s="12" t="s">
        <v>75</v>
      </c>
      <c r="B5" s="312" t="s">
        <v>724</v>
      </c>
      <c r="C5" s="313"/>
      <c r="D5" s="313"/>
      <c r="E5" s="313"/>
      <c r="F5" s="313"/>
      <c r="G5" s="313"/>
      <c r="H5" s="313"/>
      <c r="I5" s="313"/>
    </row>
    <row r="6" spans="1:9" s="7" customFormat="1" ht="12.6" customHeight="1" x14ac:dyDescent="0.3">
      <c r="A6" s="8"/>
      <c r="C6" s="314" t="s">
        <v>725</v>
      </c>
      <c r="D6" s="315"/>
      <c r="E6" s="315"/>
      <c r="F6" s="316"/>
      <c r="G6" s="314" t="s">
        <v>726</v>
      </c>
      <c r="H6" s="315"/>
      <c r="I6" s="316"/>
    </row>
    <row r="7" spans="1:9" s="7" customFormat="1" ht="15" customHeight="1" x14ac:dyDescent="0.3">
      <c r="A7" s="8"/>
      <c r="C7" s="301" t="s">
        <v>76</v>
      </c>
      <c r="D7" s="302"/>
      <c r="E7" s="302"/>
      <c r="F7" s="303"/>
      <c r="G7" s="304" t="str">
        <f>_xlfn.CONCAT(_xlfn.XLOOKUP("[S03_EmittingInstallations][1][NumberOfInstallations]",Submission!$O:$O,Submission!$H:$N,""))</f>
        <v>247</v>
      </c>
      <c r="H7" s="305"/>
      <c r="I7" s="306"/>
    </row>
    <row r="8" spans="1:9" s="7" customFormat="1" ht="15" customHeight="1" x14ac:dyDescent="0.3">
      <c r="A8" s="8"/>
      <c r="C8" s="301" t="s">
        <v>727</v>
      </c>
      <c r="D8" s="302"/>
      <c r="E8" s="302"/>
      <c r="F8" s="303"/>
      <c r="G8" s="304" t="str">
        <f>_xlfn.CONCAT(_xlfn.XLOOKUP("[S03_EmittingInstallations][2][NumberOfInstallations]",Submission!$O:$O,Submission!$H:$N,""))</f>
        <v>159</v>
      </c>
      <c r="H8" s="305"/>
      <c r="I8" s="306"/>
    </row>
    <row r="9" spans="1:9" s="7" customFormat="1" ht="15" customHeight="1" x14ac:dyDescent="0.3">
      <c r="A9" s="8"/>
      <c r="C9" s="301" t="s">
        <v>728</v>
      </c>
      <c r="D9" s="302"/>
      <c r="E9" s="302"/>
      <c r="F9" s="303"/>
      <c r="G9" s="304" t="str">
        <f>_xlfn.CONCAT(_xlfn.XLOOKUP("[S03_EmittingInstallations][3][NumberOfInstallations]",Submission!$O:$O,Submission!$H:$N,""))</f>
        <v>59</v>
      </c>
      <c r="H9" s="305"/>
      <c r="I9" s="306"/>
    </row>
    <row r="10" spans="1:9" s="7" customFormat="1" ht="15" customHeight="1" x14ac:dyDescent="0.3">
      <c r="A10" s="8"/>
      <c r="C10" s="301" t="s">
        <v>729</v>
      </c>
      <c r="D10" s="302"/>
      <c r="E10" s="302"/>
      <c r="F10" s="303"/>
      <c r="G10" s="304" t="str">
        <f>_xlfn.CONCAT(_xlfn.XLOOKUP("[S03_EmittingInstallations][4][NumberOfInstallations]",Submission!$O:$O,Submission!$H:$N,""))</f>
        <v>29</v>
      </c>
      <c r="H10" s="305"/>
      <c r="I10" s="306"/>
    </row>
    <row r="11" spans="1:9" s="7" customFormat="1" ht="15" customHeight="1" x14ac:dyDescent="0.3">
      <c r="A11" s="8"/>
      <c r="C11" s="301" t="s">
        <v>730</v>
      </c>
      <c r="D11" s="302"/>
      <c r="E11" s="302"/>
      <c r="F11" s="303"/>
      <c r="G11" s="304" t="str">
        <f>_xlfn.CONCAT(_xlfn.XLOOKUP("[S03_EmittingInstallations][5][NumberOfInstallations]",Submission!$O:$O,Submission!$H:$N,""))</f>
        <v>128</v>
      </c>
      <c r="H11" s="305"/>
      <c r="I11" s="306"/>
    </row>
    <row r="12" spans="1:9" s="11" customFormat="1" ht="14.4" x14ac:dyDescent="0.3"/>
    <row r="13" spans="1:9" s="7" customFormat="1" ht="20.399999999999999" customHeight="1" x14ac:dyDescent="0.3">
      <c r="A13" s="12"/>
      <c r="B13" s="307" t="s">
        <v>731</v>
      </c>
      <c r="C13" s="308"/>
      <c r="D13" s="308"/>
      <c r="E13" s="308"/>
      <c r="F13" s="308"/>
      <c r="G13" s="308"/>
      <c r="H13" s="308"/>
      <c r="I13" s="308"/>
    </row>
    <row r="14" spans="1:9" s="11" customFormat="1" ht="15" customHeight="1" x14ac:dyDescent="0.3">
      <c r="C14" s="319" t="s">
        <v>732</v>
      </c>
      <c r="D14" s="320"/>
      <c r="E14" s="320"/>
      <c r="F14" s="320"/>
      <c r="G14" s="321"/>
      <c r="H14" s="317" t="s">
        <v>709</v>
      </c>
      <c r="I14" s="318"/>
    </row>
    <row r="15" spans="1:9" s="11" customFormat="1" ht="14.4" x14ac:dyDescent="0.3">
      <c r="C15" s="296" t="s">
        <v>733</v>
      </c>
      <c r="D15" s="297"/>
      <c r="E15" s="297"/>
      <c r="F15" s="297"/>
      <c r="G15" s="298"/>
      <c r="H15" s="299" t="str">
        <f>_xlfn.CONCAT(_xlfn.XLOOKUP("[S03_ActivityPermits][1][ActivityPermitsIssued]",Submission!$O:$O,Submission!$H:$N,""))</f>
        <v>Yes</v>
      </c>
      <c r="I15" s="300"/>
    </row>
    <row r="16" spans="1:9" s="11" customFormat="1" ht="14.4" x14ac:dyDescent="0.3">
      <c r="C16" s="296" t="s">
        <v>734</v>
      </c>
      <c r="D16" s="297"/>
      <c r="E16" s="297"/>
      <c r="F16" s="297"/>
      <c r="G16" s="298"/>
      <c r="H16" s="299" t="str">
        <f>_xlfn.CONCAT(_xlfn.XLOOKUP("[S03_ActivityPermits][2][ActivityPermitsIssued]",Submission!$O:$O,Submission!$H:$N,""))</f>
        <v>Yes</v>
      </c>
      <c r="I16" s="300"/>
    </row>
    <row r="17" spans="3:9" s="11" customFormat="1" ht="14.4" x14ac:dyDescent="0.3">
      <c r="C17" s="296" t="s">
        <v>735</v>
      </c>
      <c r="D17" s="297"/>
      <c r="E17" s="297"/>
      <c r="F17" s="297"/>
      <c r="G17" s="298"/>
      <c r="H17" s="299" t="str">
        <f>_xlfn.CONCAT(_xlfn.XLOOKUP("[S03_ActivityPermits][3][ActivityPermitsIssued]",Submission!$O:$O,Submission!$H:$N,""))</f>
        <v>Yes</v>
      </c>
      <c r="I17" s="300"/>
    </row>
    <row r="18" spans="3:9" s="11" customFormat="1" ht="14.4" x14ac:dyDescent="0.3">
      <c r="C18" s="296" t="s">
        <v>736</v>
      </c>
      <c r="D18" s="297"/>
      <c r="E18" s="297"/>
      <c r="F18" s="297"/>
      <c r="G18" s="298"/>
      <c r="H18" s="299" t="str">
        <f>_xlfn.CONCAT(_xlfn.XLOOKUP("[S03_ActivityPermits][4][ActivityPermitsIssued]",Submission!$O:$O,Submission!$H:$N,""))</f>
        <v>Yes</v>
      </c>
      <c r="I18" s="300"/>
    </row>
    <row r="19" spans="3:9" s="11" customFormat="1" ht="14.4" x14ac:dyDescent="0.3">
      <c r="C19" s="296" t="s">
        <v>737</v>
      </c>
      <c r="D19" s="297"/>
      <c r="E19" s="297"/>
      <c r="F19" s="297"/>
      <c r="G19" s="298"/>
      <c r="H19" s="299" t="str">
        <f>_xlfn.CONCAT(_xlfn.XLOOKUP("[S03_ActivityPermits][5][ActivityPermitsIssued]",Submission!$O:$O,Submission!$H:$N,""))</f>
        <v>Yes</v>
      </c>
      <c r="I19" s="300"/>
    </row>
    <row r="20" spans="3:9" s="11" customFormat="1" ht="14.4" x14ac:dyDescent="0.3">
      <c r="C20" s="296" t="s">
        <v>738</v>
      </c>
      <c r="D20" s="297"/>
      <c r="E20" s="297"/>
      <c r="F20" s="297"/>
      <c r="G20" s="298"/>
      <c r="H20" s="299" t="str">
        <f>_xlfn.CONCAT(_xlfn.XLOOKUP("[S03_ActivityPermits][6][ActivityPermitsIssued]",Submission!$O:$O,Submission!$H:$N,""))</f>
        <v>Yes</v>
      </c>
      <c r="I20" s="300"/>
    </row>
    <row r="21" spans="3:9" s="11" customFormat="1" ht="14.4" x14ac:dyDescent="0.3">
      <c r="C21" s="296" t="s">
        <v>739</v>
      </c>
      <c r="D21" s="297"/>
      <c r="E21" s="297"/>
      <c r="F21" s="297"/>
      <c r="G21" s="298"/>
      <c r="H21" s="299" t="str">
        <f>_xlfn.CONCAT(_xlfn.XLOOKUP("[S03_ActivityPermits][7][ActivityPermitsIssued]",Submission!$O:$O,Submission!$H:$N,""))</f>
        <v>No</v>
      </c>
      <c r="I21" s="300"/>
    </row>
    <row r="22" spans="3:9" s="11" customFormat="1" ht="14.4" x14ac:dyDescent="0.3">
      <c r="C22" s="296" t="s">
        <v>740</v>
      </c>
      <c r="D22" s="297"/>
      <c r="E22" s="297"/>
      <c r="F22" s="297"/>
      <c r="G22" s="298"/>
      <c r="H22" s="299" t="str">
        <f>_xlfn.CONCAT(_xlfn.XLOOKUP("[S03_ActivityPermits][8][ActivityPermitsIssued]",Submission!$O:$O,Submission!$H:$N,""))</f>
        <v>Yes</v>
      </c>
      <c r="I22" s="300"/>
    </row>
    <row r="23" spans="3:9" s="11" customFormat="1" ht="14.4" x14ac:dyDescent="0.3">
      <c r="C23" s="296" t="s">
        <v>741</v>
      </c>
      <c r="D23" s="297"/>
      <c r="E23" s="297"/>
      <c r="F23" s="297"/>
      <c r="G23" s="298"/>
      <c r="H23" s="299" t="str">
        <f>_xlfn.CONCAT(_xlfn.XLOOKUP("[S03_ActivityPermits][9][ActivityPermitsIssued]",Submission!$O:$O,Submission!$H:$N,""))</f>
        <v>Yes</v>
      </c>
      <c r="I23" s="300"/>
    </row>
    <row r="24" spans="3:9" s="11" customFormat="1" ht="14.4" x14ac:dyDescent="0.3">
      <c r="C24" s="296" t="s">
        <v>742</v>
      </c>
      <c r="D24" s="297"/>
      <c r="E24" s="297"/>
      <c r="F24" s="297"/>
      <c r="G24" s="298"/>
      <c r="H24" s="299" t="str">
        <f>_xlfn.CONCAT(_xlfn.XLOOKUP("[S03_ActivityPermits][10][ActivityPermitsIssued]",Submission!$O:$O,Submission!$H:$N,""))</f>
        <v>Yes</v>
      </c>
      <c r="I24" s="300"/>
    </row>
    <row r="25" spans="3:9" s="11" customFormat="1" ht="14.4" x14ac:dyDescent="0.3">
      <c r="C25" s="296" t="s">
        <v>743</v>
      </c>
      <c r="D25" s="297"/>
      <c r="E25" s="297"/>
      <c r="F25" s="297"/>
      <c r="G25" s="298"/>
      <c r="H25" s="299" t="str">
        <f>_xlfn.CONCAT(_xlfn.XLOOKUP("[S03_ActivityPermits][11][ActivityPermitsIssued]",Submission!$O:$O,Submission!$H:$N,""))</f>
        <v>Yes</v>
      </c>
      <c r="I25" s="300"/>
    </row>
    <row r="26" spans="3:9" s="11" customFormat="1" ht="14.4" x14ac:dyDescent="0.3">
      <c r="C26" s="296" t="s">
        <v>744</v>
      </c>
      <c r="D26" s="297"/>
      <c r="E26" s="297"/>
      <c r="F26" s="297"/>
      <c r="G26" s="298"/>
      <c r="H26" s="299" t="str">
        <f>_xlfn.CONCAT(_xlfn.XLOOKUP("[S03_ActivityPermits][12][ActivityPermitsIssued]",Submission!$O:$O,Submission!$H:$N,""))</f>
        <v>Yes</v>
      </c>
      <c r="I26" s="300"/>
    </row>
    <row r="27" spans="3:9" s="11" customFormat="1" ht="14.4" x14ac:dyDescent="0.3">
      <c r="C27" s="296" t="s">
        <v>745</v>
      </c>
      <c r="D27" s="297"/>
      <c r="E27" s="297"/>
      <c r="F27" s="297"/>
      <c r="G27" s="298"/>
      <c r="H27" s="299" t="str">
        <f>_xlfn.CONCAT(_xlfn.XLOOKUP("[S03_ActivityPermits][13][ActivityPermitsIssued]",Submission!$O:$O,Submission!$H:$N,""))</f>
        <v>Yes</v>
      </c>
      <c r="I27" s="300"/>
    </row>
    <row r="28" spans="3:9" s="11" customFormat="1" ht="14.4" x14ac:dyDescent="0.3">
      <c r="C28" s="296" t="s">
        <v>746</v>
      </c>
      <c r="D28" s="297"/>
      <c r="E28" s="297"/>
      <c r="F28" s="297"/>
      <c r="G28" s="298"/>
      <c r="H28" s="299" t="str">
        <f>_xlfn.CONCAT(_xlfn.XLOOKUP("[S03_ActivityPermits][14][ActivityPermitsIssued]",Submission!$O:$O,Submission!$H:$N,""))</f>
        <v>Yes</v>
      </c>
      <c r="I28" s="300"/>
    </row>
    <row r="29" spans="3:9" s="11" customFormat="1" ht="14.4" x14ac:dyDescent="0.3">
      <c r="C29" s="296" t="s">
        <v>747</v>
      </c>
      <c r="D29" s="297"/>
      <c r="E29" s="297"/>
      <c r="F29" s="297"/>
      <c r="G29" s="298"/>
      <c r="H29" s="299" t="str">
        <f>_xlfn.CONCAT(_xlfn.XLOOKUP("[S03_ActivityPermits][15][ActivityPermitsIssued]",Submission!$O:$O,Submission!$H:$N,""))</f>
        <v>Yes</v>
      </c>
      <c r="I29" s="300"/>
    </row>
    <row r="30" spans="3:9" s="11" customFormat="1" ht="14.4" x14ac:dyDescent="0.3">
      <c r="C30" s="296" t="s">
        <v>748</v>
      </c>
      <c r="D30" s="297"/>
      <c r="E30" s="297"/>
      <c r="F30" s="297"/>
      <c r="G30" s="298"/>
      <c r="H30" s="299" t="str">
        <f>_xlfn.CONCAT(_xlfn.XLOOKUP("[S03_ActivityPermits][16][ActivityPermitsIssued]",Submission!$O:$O,Submission!$H:$N,""))</f>
        <v>Yes</v>
      </c>
      <c r="I30" s="300"/>
    </row>
    <row r="31" spans="3:9" s="11" customFormat="1" ht="14.4" x14ac:dyDescent="0.3">
      <c r="C31" s="296" t="s">
        <v>749</v>
      </c>
      <c r="D31" s="297"/>
      <c r="E31" s="297"/>
      <c r="F31" s="297"/>
      <c r="G31" s="298"/>
      <c r="H31" s="299" t="str">
        <f>_xlfn.CONCAT(_xlfn.XLOOKUP("[S03_ActivityPermits][17][ActivityPermitsIssued]",Submission!$O:$O,Submission!$H:$N,""))</f>
        <v>Yes</v>
      </c>
      <c r="I31" s="300"/>
    </row>
    <row r="32" spans="3:9" s="11" customFormat="1" ht="14.4" x14ac:dyDescent="0.3">
      <c r="C32" s="296" t="s">
        <v>750</v>
      </c>
      <c r="D32" s="297"/>
      <c r="E32" s="297"/>
      <c r="F32" s="297"/>
      <c r="G32" s="298"/>
      <c r="H32" s="299" t="str">
        <f>_xlfn.CONCAT(_xlfn.XLOOKUP("[S03_ActivityPermits][18][ActivityPermitsIssued]",Submission!$O:$O,Submission!$H:$N,""))</f>
        <v>Yes</v>
      </c>
      <c r="I32" s="300"/>
    </row>
    <row r="33" spans="1:9" s="11" customFormat="1" ht="14.4" x14ac:dyDescent="0.3">
      <c r="C33" s="296" t="s">
        <v>751</v>
      </c>
      <c r="D33" s="297"/>
      <c r="E33" s="297"/>
      <c r="F33" s="297"/>
      <c r="G33" s="298"/>
      <c r="H33" s="299" t="str">
        <f>_xlfn.CONCAT(_xlfn.XLOOKUP("[S03_ActivityPermits][19][ActivityPermitsIssued]",Submission!$O:$O,Submission!$H:$N,""))</f>
        <v>Yes</v>
      </c>
      <c r="I33" s="300"/>
    </row>
    <row r="34" spans="1:9" s="11" customFormat="1" ht="14.4" x14ac:dyDescent="0.3">
      <c r="C34" s="296" t="s">
        <v>752</v>
      </c>
      <c r="D34" s="297"/>
      <c r="E34" s="297"/>
      <c r="F34" s="297"/>
      <c r="G34" s="298"/>
      <c r="H34" s="299" t="str">
        <f>_xlfn.CONCAT(_xlfn.XLOOKUP("[S03_ActivityPermits][20][ActivityPermitsIssued]",Submission!$O:$O,Submission!$H:$N,""))</f>
        <v>No</v>
      </c>
      <c r="I34" s="300"/>
    </row>
    <row r="35" spans="1:9" s="11" customFormat="1" ht="14.4" x14ac:dyDescent="0.3">
      <c r="C35" s="296" t="s">
        <v>753</v>
      </c>
      <c r="D35" s="297"/>
      <c r="E35" s="297"/>
      <c r="F35" s="297"/>
      <c r="G35" s="298"/>
      <c r="H35" s="299" t="str">
        <f>_xlfn.CONCAT(_xlfn.XLOOKUP("[S03_ActivityPermits][21][ActivityPermitsIssued]",Submission!$O:$O,Submission!$H:$N,""))</f>
        <v>No</v>
      </c>
      <c r="I35" s="300"/>
    </row>
    <row r="36" spans="1:9" s="11" customFormat="1" ht="14.4" x14ac:dyDescent="0.3">
      <c r="C36" s="296" t="s">
        <v>754</v>
      </c>
      <c r="D36" s="297"/>
      <c r="E36" s="297"/>
      <c r="F36" s="297"/>
      <c r="G36" s="298"/>
      <c r="H36" s="299" t="str">
        <f>_xlfn.CONCAT(_xlfn.XLOOKUP("[S03_ActivityPermits][22][ActivityPermitsIssued]",Submission!$O:$O,Submission!$H:$N,""))</f>
        <v>No</v>
      </c>
      <c r="I36" s="300"/>
    </row>
    <row r="37" spans="1:9" s="11" customFormat="1" ht="14.4" x14ac:dyDescent="0.3">
      <c r="C37" s="296" t="s">
        <v>755</v>
      </c>
      <c r="D37" s="297"/>
      <c r="E37" s="297"/>
      <c r="F37" s="297"/>
      <c r="G37" s="298"/>
      <c r="H37" s="299" t="str">
        <f>_xlfn.CONCAT(_xlfn.XLOOKUP("[S03_ActivityPermits][23][ActivityPermitsIssued]",Submission!$O:$O,Submission!$H:$N,""))</f>
        <v>Yes</v>
      </c>
      <c r="I37" s="300"/>
    </row>
    <row r="38" spans="1:9" s="11" customFormat="1" ht="15" x14ac:dyDescent="0.3">
      <c r="C38" s="296" t="s">
        <v>756</v>
      </c>
      <c r="D38" s="297"/>
      <c r="E38" s="297"/>
      <c r="F38" s="297"/>
      <c r="G38" s="298"/>
      <c r="H38" s="299" t="str">
        <f>_xlfn.CONCAT(_xlfn.XLOOKUP("[S03_ActivityPermits][24][ActivityPermitsIssued]",Submission!$O:$O,Submission!$H:$N,""))</f>
        <v>Yes</v>
      </c>
      <c r="I38" s="300"/>
    </row>
    <row r="39" spans="1:9" s="11" customFormat="1" ht="15" x14ac:dyDescent="0.3">
      <c r="C39" s="296" t="s">
        <v>757</v>
      </c>
      <c r="D39" s="297"/>
      <c r="E39" s="297"/>
      <c r="F39" s="297"/>
      <c r="G39" s="298"/>
      <c r="H39" s="299" t="str">
        <f>_xlfn.CONCAT(_xlfn.XLOOKUP("[S03_ActivityPermits][25][ActivityPermitsIssued]",Submission!$O:$O,Submission!$H:$N,""))</f>
        <v>No</v>
      </c>
      <c r="I39" s="300"/>
    </row>
    <row r="40" spans="1:9" s="11" customFormat="1" ht="14.4" x14ac:dyDescent="0.3">
      <c r="C40" s="296" t="s">
        <v>758</v>
      </c>
      <c r="D40" s="297"/>
      <c r="E40" s="297"/>
      <c r="F40" s="297"/>
      <c r="G40" s="298"/>
      <c r="H40" s="299" t="str">
        <f>_xlfn.CONCAT(_xlfn.XLOOKUP("[S03_ActivityPermits][26][ActivityPermitsIssued]",Submission!$O:$O,Submission!$H:$N,""))</f>
        <v>No</v>
      </c>
      <c r="I40" s="300"/>
    </row>
    <row r="41" spans="1:9" s="11" customFormat="1" ht="14.4" x14ac:dyDescent="0.3">
      <c r="C41" s="296" t="s">
        <v>759</v>
      </c>
      <c r="D41" s="297"/>
      <c r="E41" s="297"/>
      <c r="F41" s="297"/>
      <c r="G41" s="298"/>
      <c r="H41" s="299" t="str">
        <f>_xlfn.CONCAT(_xlfn.XLOOKUP("[S03_ActivityPermits][27][ActivityPermitsIssued]",Submission!$O:$O,Submission!$H:$N,""))</f>
        <v>No</v>
      </c>
      <c r="I41" s="300"/>
    </row>
    <row r="42" spans="1:9" s="11" customFormat="1" ht="14.4" x14ac:dyDescent="0.3">
      <c r="C42" s="296" t="s">
        <v>760</v>
      </c>
      <c r="D42" s="297"/>
      <c r="E42" s="297"/>
      <c r="F42" s="297"/>
      <c r="G42" s="298"/>
      <c r="H42" s="299" t="str">
        <f>_xlfn.CONCAT(_xlfn.XLOOKUP("[S03_ActivityPermits][28][ActivityPermitsIssued]",Submission!$O:$O,Submission!$H:$N,""))</f>
        <v>No</v>
      </c>
      <c r="I42" s="300"/>
    </row>
    <row r="43" spans="1:9" s="11" customFormat="1" ht="29.25" customHeight="1" x14ac:dyDescent="0.3">
      <c r="C43" s="344" t="s">
        <v>761</v>
      </c>
      <c r="D43" s="344"/>
      <c r="E43" s="344"/>
      <c r="F43" s="344"/>
      <c r="G43" s="344"/>
      <c r="H43" s="344"/>
      <c r="I43" s="344"/>
    </row>
    <row r="44" spans="1:9" s="7" customFormat="1" ht="18.75" customHeight="1" x14ac:dyDescent="0.3">
      <c r="A44" s="8"/>
    </row>
    <row r="45" spans="1:9" ht="18" customHeight="1" x14ac:dyDescent="0.3">
      <c r="A45" s="12" t="s">
        <v>80</v>
      </c>
      <c r="B45" s="338" t="s">
        <v>762</v>
      </c>
      <c r="C45" s="308"/>
      <c r="D45" s="308"/>
      <c r="E45" s="308"/>
      <c r="F45" s="308"/>
      <c r="G45" s="308"/>
      <c r="H45" s="345"/>
      <c r="I45" s="41" t="str">
        <f>_xlfn.CONCAT(_xlfn.XLOOKUP("[InstallationsExcludedArt27][0][InstallationsExcludedArt27]",Submission!$O:$O,Submission!$H:$N,""))</f>
        <v>Yes</v>
      </c>
    </row>
    <row r="46" spans="1:9" ht="16.95" customHeight="1" x14ac:dyDescent="0.3">
      <c r="B46" s="338" t="s">
        <v>763</v>
      </c>
      <c r="C46" s="308"/>
      <c r="D46" s="308"/>
      <c r="E46" s="308"/>
      <c r="F46" s="308"/>
      <c r="G46" s="308"/>
      <c r="H46" s="308"/>
      <c r="I46" s="308"/>
    </row>
    <row r="47" spans="1:9" ht="28.2" customHeight="1" x14ac:dyDescent="0.3">
      <c r="B47" s="36" t="s">
        <v>8</v>
      </c>
      <c r="C47" s="339" t="s">
        <v>764</v>
      </c>
      <c r="D47" s="339"/>
      <c r="E47" s="339"/>
      <c r="F47" s="339"/>
      <c r="G47" s="339"/>
      <c r="H47" s="339"/>
      <c r="I47" s="339"/>
    </row>
    <row r="48" spans="1:9" ht="30.6" customHeight="1" x14ac:dyDescent="0.3">
      <c r="B48" s="36" t="s">
        <v>8</v>
      </c>
      <c r="C48" s="339" t="s">
        <v>765</v>
      </c>
      <c r="D48" s="339"/>
      <c r="E48" s="339"/>
      <c r="F48" s="339"/>
      <c r="G48" s="339"/>
      <c r="H48" s="339"/>
      <c r="I48" s="339"/>
    </row>
    <row r="49" spans="1:12" ht="31.95" customHeight="1" x14ac:dyDescent="0.3">
      <c r="B49" s="36" t="s">
        <v>8</v>
      </c>
      <c r="C49" s="327" t="s">
        <v>766</v>
      </c>
      <c r="D49" s="327"/>
      <c r="E49" s="327"/>
      <c r="F49" s="327"/>
      <c r="G49" s="327"/>
      <c r="H49" s="327"/>
      <c r="I49" s="327"/>
    </row>
    <row r="50" spans="1:12" s="7" customFormat="1" ht="42" customHeight="1" x14ac:dyDescent="0.3">
      <c r="A50" s="8"/>
      <c r="C50" s="314" t="s">
        <v>767</v>
      </c>
      <c r="D50" s="333"/>
      <c r="E50" s="334"/>
      <c r="F50" s="314" t="s">
        <v>768</v>
      </c>
      <c r="G50" s="316"/>
      <c r="H50" s="314" t="s">
        <v>769</v>
      </c>
      <c r="I50" s="316"/>
    </row>
    <row r="51" spans="1:12" s="7" customFormat="1" ht="14.4" x14ac:dyDescent="0.3">
      <c r="A51" s="8"/>
      <c r="C51" s="299" t="str">
        <f>_xlfn.CONCAT(_xlfn.XLOOKUP("[S03_InstallationsExcludedArt27Detail][1][ExclusionArticle]",Submission!$O:$O,Submission!$H:$N,""))</f>
        <v>Article 27</v>
      </c>
      <c r="D51" s="340"/>
      <c r="E51" s="341"/>
      <c r="F51" s="346" t="str">
        <f>_xlfn.CONCAT(_xlfn.XLOOKUP("[S03_InstallationsExcludedArt27Detail][1][InstallationsExcludedEmissions]",Submission!$O:$O,Submission!$H:$N,""))</f>
        <v>0</v>
      </c>
      <c r="G51" s="326"/>
      <c r="H51" s="325" t="str">
        <f>_xlfn.CONCAT(_xlfn.XLOOKUP("[S03_InstallationsExcludedArt27Detail][1][InstallationsExceededThreshold]",Submission!$O:$O,Submission!$H:$N,""))</f>
        <v>0</v>
      </c>
      <c r="I51" s="326"/>
    </row>
    <row r="52" spans="1:12" s="7" customFormat="1" ht="14.4" x14ac:dyDescent="0.3">
      <c r="A52" s="8"/>
      <c r="C52" s="299" t="str">
        <f>_xlfn.CONCAT(_xlfn.XLOOKUP("[S03_InstallationsExcludedArt27Detail][2][ExclusionArticle]",Submission!$O:$O,Submission!$H:$N,""))</f>
        <v>Article 27a (1)</v>
      </c>
      <c r="D52" s="340"/>
      <c r="E52" s="341"/>
      <c r="F52" s="325" t="str">
        <f>_xlfn.CONCAT(_xlfn.XLOOKUP("[S03_InstallationsExcludedArt27Detail][2][InstallationsExcludedEmissions]",Submission!$O:$O,Submission!$H:$N,""))</f>
        <v>9289</v>
      </c>
      <c r="G52" s="326"/>
      <c r="H52" s="325" t="str">
        <f>_xlfn.CONCAT(_xlfn.XLOOKUP("[S03_InstallationsExcludedArt27Detail][2][InstallationsExceededThreshold]",Submission!$O:$O,Submission!$H:$N,""))</f>
        <v>1</v>
      </c>
      <c r="I52" s="326"/>
    </row>
    <row r="53" spans="1:12" s="7" customFormat="1" ht="14.4" x14ac:dyDescent="0.3">
      <c r="A53" s="8"/>
      <c r="C53" s="299" t="str">
        <f>_xlfn.CONCAT(_xlfn.XLOOKUP("[S03_InstallationsExcludedArt27Detail][3][ExclusionArticle]",Submission!$O:$O,Submission!$H:$N,""))</f>
        <v>Article 27a (3)</v>
      </c>
      <c r="D53" s="340"/>
      <c r="E53" s="341"/>
      <c r="F53" s="325" t="str">
        <f>_xlfn.CONCAT(_xlfn.XLOOKUP("[S03_InstallationsExcludedArt27Detail][3][InstallationsExcludedEmissions]",Submission!$O:$O,Submission!$H:$N,""))</f>
        <v>0</v>
      </c>
      <c r="G53" s="326"/>
      <c r="H53" s="325" t="str">
        <f>_xlfn.CONCAT(_xlfn.XLOOKUP("[S03_InstallationsExcludedArt27Detail][3][InstallationsExceededThreshold]",Submission!$O:$O,Submission!$H:$N,""))</f>
        <v>0</v>
      </c>
      <c r="I53" s="326"/>
    </row>
    <row r="54" spans="1:12" s="7" customFormat="1" ht="14.4" customHeight="1" x14ac:dyDescent="0.3">
      <c r="A54" s="8"/>
      <c r="C54" s="344" t="s">
        <v>770</v>
      </c>
      <c r="D54" s="344"/>
      <c r="E54" s="344"/>
      <c r="F54" s="344"/>
      <c r="G54" s="344"/>
      <c r="H54" s="344"/>
      <c r="I54" s="344"/>
      <c r="J54" s="19"/>
      <c r="K54" s="19"/>
      <c r="L54" s="19"/>
    </row>
    <row r="55" spans="1:12" s="38" customFormat="1" ht="14.4" x14ac:dyDescent="0.3">
      <c r="A55" s="39"/>
    </row>
    <row r="56" spans="1:12" s="7" customFormat="1" ht="18.600000000000001" customHeight="1" x14ac:dyDescent="0.3">
      <c r="A56" s="8"/>
      <c r="B56" s="338" t="s">
        <v>771</v>
      </c>
      <c r="C56" s="308"/>
      <c r="D56" s="308"/>
      <c r="E56" s="308"/>
      <c r="F56" s="308"/>
      <c r="G56" s="308"/>
      <c r="H56" s="308"/>
      <c r="I56" s="308"/>
    </row>
    <row r="57" spans="1:12" ht="15.9" customHeight="1" x14ac:dyDescent="0.3">
      <c r="A57" s="12"/>
      <c r="B57" s="40"/>
      <c r="C57" s="330"/>
      <c r="D57" s="331"/>
      <c r="E57" s="331"/>
      <c r="F57" s="314" t="s">
        <v>772</v>
      </c>
      <c r="G57" s="333"/>
      <c r="H57" s="333"/>
      <c r="I57" s="334"/>
    </row>
    <row r="58" spans="1:12" ht="15.9" customHeight="1" x14ac:dyDescent="0.3">
      <c r="A58" s="12"/>
      <c r="B58" s="40"/>
      <c r="C58" s="301" t="s">
        <v>773</v>
      </c>
      <c r="D58" s="332"/>
      <c r="E58" s="332"/>
      <c r="F58" s="335" t="str">
        <f>_xlfn.CONCAT(_xlfn.XLOOKUP("[S03_InstallationsExcludedClosed][0][ClosedArt27]",Submission!$O:$O,Submission!$H:$N,""))</f>
        <v>0</v>
      </c>
      <c r="G58" s="336"/>
      <c r="H58" s="336"/>
      <c r="I58" s="337"/>
    </row>
    <row r="59" spans="1:12" s="7" customFormat="1" ht="15" customHeight="1" x14ac:dyDescent="0.3">
      <c r="A59" s="8"/>
      <c r="C59" s="301" t="s">
        <v>774</v>
      </c>
      <c r="D59" s="332"/>
      <c r="E59" s="332"/>
      <c r="F59" s="335" t="str">
        <f>_xlfn.CONCAT(_xlfn.XLOOKUP("[S03_InstallationsExcludedClosed][0][ClosedArt27a]",Submission!$O:$O,Submission!$H:$N,""))</f>
        <v>0</v>
      </c>
      <c r="G59" s="336"/>
      <c r="H59" s="336"/>
      <c r="I59" s="337"/>
    </row>
    <row r="60" spans="1:12" s="7" customFormat="1" ht="14.4" x14ac:dyDescent="0.3">
      <c r="A60" s="8"/>
    </row>
    <row r="61" spans="1:12" s="86" customFormat="1" ht="18.899999999999999" customHeight="1" x14ac:dyDescent="0.35">
      <c r="A61" s="85" t="s">
        <v>775</v>
      </c>
      <c r="B61" s="310" t="s">
        <v>97</v>
      </c>
      <c r="C61" s="310"/>
      <c r="D61" s="310"/>
      <c r="E61" s="310"/>
      <c r="F61" s="310"/>
      <c r="G61" s="310"/>
      <c r="H61" s="310"/>
      <c r="I61" s="311"/>
    </row>
    <row r="62" spans="1:12" s="7" customFormat="1" ht="54" customHeight="1" x14ac:dyDescent="0.3">
      <c r="A62" s="12" t="s">
        <v>98</v>
      </c>
      <c r="B62" s="342" t="s">
        <v>776</v>
      </c>
      <c r="C62" s="343"/>
      <c r="D62" s="343"/>
      <c r="E62" s="343"/>
      <c r="F62" s="343"/>
      <c r="G62" s="343"/>
      <c r="H62" s="343"/>
      <c r="I62" s="343"/>
    </row>
    <row r="63" spans="1:12" s="7" customFormat="1" ht="46.2" customHeight="1" x14ac:dyDescent="0.3">
      <c r="A63" s="8"/>
      <c r="C63" s="317" t="s">
        <v>777</v>
      </c>
      <c r="D63" s="328"/>
      <c r="E63" s="328"/>
      <c r="F63" s="329"/>
      <c r="G63" s="46" t="s">
        <v>778</v>
      </c>
      <c r="H63" s="46" t="s">
        <v>779</v>
      </c>
      <c r="I63" s="46" t="s">
        <v>780</v>
      </c>
    </row>
    <row r="64" spans="1:12" ht="15.9" customHeight="1" x14ac:dyDescent="0.3">
      <c r="C64" s="322" t="s">
        <v>781</v>
      </c>
      <c r="D64" s="323"/>
      <c r="E64" s="323"/>
      <c r="F64" s="324"/>
      <c r="G64" s="132" t="str">
        <f>_xlfn.CONCAT(_xlfn.XLOOKUP("[S03_AircraftAnnex1Activities][1][NumberCommercialOperators]",Submission!$O:$O,Submission!$H:$N,""))</f>
        <v>2</v>
      </c>
      <c r="H64" s="132" t="str">
        <f>_xlfn.CONCAT(_xlfn.XLOOKUP("[S03_AircraftAnnex1Activities][1][NumberNonCommercialOperators]",Submission!$O:$O,Submission!$H:$N,""))</f>
        <v>0</v>
      </c>
      <c r="I64" s="132" t="str">
        <f>_xlfn.CONCAT(_xlfn.XLOOKUP("[S03_AircraftAnnex1Activities][1][NumberTotalOperators]",Submission!$O:$O,Submission!$H:$N,""))</f>
        <v>2</v>
      </c>
    </row>
    <row r="65" spans="3:9" ht="15.9" customHeight="1" x14ac:dyDescent="0.3">
      <c r="C65" s="322" t="s">
        <v>782</v>
      </c>
      <c r="D65" s="323"/>
      <c r="E65" s="323"/>
      <c r="F65" s="324"/>
      <c r="G65" s="132" t="str">
        <f>_xlfn.CONCAT(_xlfn.XLOOKUP("[S03_AircraftAnnex1Activities][2][NumberCommercialOperators]",Submission!$O:$O,Submission!$H:$N,""))</f>
        <v>2</v>
      </c>
      <c r="H65" s="132" t="str">
        <f>_xlfn.CONCAT(_xlfn.XLOOKUP("[S03_AircraftAnnex1Activities][2][NumberNonCommercialOperators]",Submission!$O:$O,Submission!$H:$N,""))</f>
        <v>0</v>
      </c>
      <c r="I65" s="132" t="str">
        <f>_xlfn.CONCAT(_xlfn.XLOOKUP("[S03_AircraftAnnex1Activities][2][NumberTotalOperators]",Submission!$O:$O,Submission!$H:$N,""))</f>
        <v>2</v>
      </c>
    </row>
    <row r="66" spans="3:9" ht="15.9" customHeight="1" x14ac:dyDescent="0.3">
      <c r="C66" s="322" t="s">
        <v>780</v>
      </c>
      <c r="D66" s="323"/>
      <c r="E66" s="323"/>
      <c r="F66" s="324"/>
      <c r="G66" s="132" t="str">
        <f>_xlfn.CONCAT(_xlfn.XLOOKUP("[S03_AircraftAnnex1Activities][3][NumberCommercialOperators]",Submission!$O:$O,Submission!$H:$N,""))</f>
        <v/>
      </c>
      <c r="H66" s="132" t="str">
        <f>_xlfn.CONCAT(_xlfn.XLOOKUP("[S03_AircraftAnnex1Activities][3][NumberNonCommercialOperators]",Submission!$O:$O,Submission!$H:$N,""))</f>
        <v/>
      </c>
      <c r="I66" s="132" t="str">
        <f>_xlfn.CONCAT(_xlfn.XLOOKUP("[S03_AircraftAnnex1Activities][3][NumberTotalOperators]",Submission!$O:$O,Submission!$H:$N,""))</f>
        <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09" t="s">
        <v>105</v>
      </c>
      <c r="C3" s="309"/>
      <c r="D3" s="309"/>
      <c r="E3" s="309"/>
      <c r="F3" s="309"/>
      <c r="G3" s="309"/>
      <c r="H3" s="309"/>
      <c r="I3" s="309"/>
    </row>
    <row r="4" spans="1:9" s="7" customFormat="1" ht="17.399999999999999" customHeight="1" x14ac:dyDescent="0.3">
      <c r="A4" s="12"/>
      <c r="B4" s="283" t="s">
        <v>783</v>
      </c>
      <c r="C4" s="284"/>
      <c r="D4" s="284"/>
      <c r="E4" s="284"/>
      <c r="F4" s="284"/>
      <c r="G4" s="284"/>
      <c r="H4" s="284"/>
      <c r="I4" s="284"/>
    </row>
    <row r="5" spans="1:9" ht="18.600000000000001" customHeight="1" x14ac:dyDescent="0.3">
      <c r="A5" s="12" t="s">
        <v>106</v>
      </c>
      <c r="B5" s="338" t="s">
        <v>784</v>
      </c>
      <c r="C5" s="308"/>
      <c r="D5" s="308"/>
      <c r="E5" s="308"/>
      <c r="F5" s="308"/>
      <c r="G5" s="308"/>
      <c r="H5" s="308"/>
    </row>
    <row r="6" spans="1:9" x14ac:dyDescent="0.3">
      <c r="A6" s="12"/>
      <c r="B6" s="18"/>
      <c r="C6" s="279" t="s">
        <v>785</v>
      </c>
      <c r="D6" s="279"/>
      <c r="E6" s="279"/>
      <c r="F6" s="279"/>
      <c r="G6" s="279"/>
      <c r="H6" s="279"/>
      <c r="I6" s="279"/>
    </row>
    <row r="7" spans="1:9" ht="29.4" customHeight="1" x14ac:dyDescent="0.3">
      <c r="C7" s="314" t="s">
        <v>786</v>
      </c>
      <c r="D7" s="315"/>
      <c r="E7" s="315"/>
      <c r="F7" s="316"/>
      <c r="G7" s="42" t="s">
        <v>787</v>
      </c>
      <c r="H7" s="314" t="s">
        <v>710</v>
      </c>
      <c r="I7" s="316"/>
    </row>
    <row r="8" spans="1:9" s="58" customFormat="1" ht="31.95" customHeight="1" x14ac:dyDescent="0.3">
      <c r="A8" s="75"/>
      <c r="C8" s="249" t="s">
        <v>788</v>
      </c>
      <c r="D8" s="257"/>
      <c r="E8" s="257"/>
      <c r="F8" s="250"/>
      <c r="G8" s="63" t="str">
        <f>_xlfn.CONCAT(_xlfn.XLOOKUP("[S04_IEDProcedureRequirementsIntegratedYes][1][IntegrationYesNo]",Submission!$O:$O,Submission!$H:$N,""))</f>
        <v>No</v>
      </c>
      <c r="H8" s="258" t="str">
        <f>_xlfn.CONCAT(_xlfn.XLOOKUP("[S04_IEDProcedureRequirementsIntegratedYes][1][IntegrationComments]",Submission!$O:$O,Submission!$H:$N,""))</f>
        <v/>
      </c>
      <c r="I8" s="260"/>
    </row>
    <row r="9" spans="1:9" s="58" customFormat="1" ht="31.95" customHeight="1" x14ac:dyDescent="0.3">
      <c r="A9" s="75"/>
      <c r="C9" s="249" t="s">
        <v>789</v>
      </c>
      <c r="D9" s="272"/>
      <c r="E9" s="272"/>
      <c r="F9" s="273"/>
      <c r="G9" s="63" t="str">
        <f>_xlfn.CONCAT(_xlfn.XLOOKUP("[S04_IEDProcedureRequirementsIntegratedYes][2][IntegrationYesNo]",Submission!$O:$O,Submission!$H:$N,""))</f>
        <v>No</v>
      </c>
      <c r="H9" s="258" t="str">
        <f>_xlfn.CONCAT(_xlfn.XLOOKUP("[S04_IEDProcedureRequirementsIntegratedYes][2][IntegrationComments]",Submission!$O:$O,Submission!$H:$N,""))</f>
        <v/>
      </c>
      <c r="I9" s="260"/>
    </row>
    <row r="10" spans="1:9" s="58" customFormat="1" ht="31.95" customHeight="1" x14ac:dyDescent="0.3">
      <c r="A10" s="75"/>
      <c r="C10" s="249" t="s">
        <v>790</v>
      </c>
      <c r="D10" s="272"/>
      <c r="E10" s="272"/>
      <c r="F10" s="273"/>
      <c r="G10" s="63" t="str">
        <f>_xlfn.CONCAT(_xlfn.XLOOKUP("[S04_IEDProcedureRequirementsIntegratedYes][3][IntegrationYesNo]",Submission!$O:$O,Submission!$H:$N,""))</f>
        <v>No</v>
      </c>
      <c r="H10" s="258" t="str">
        <f>_xlfn.CONCAT(_xlfn.XLOOKUP("[S04_IEDProcedureRequirementsIntegratedYes][3][IntegrationComments]",Submission!$O:$O,Submission!$H:$N,""))</f>
        <v/>
      </c>
      <c r="I10" s="260"/>
    </row>
    <row r="11" spans="1:9" s="58" customFormat="1" ht="31.8" customHeight="1" x14ac:dyDescent="0.3">
      <c r="A11" s="75"/>
      <c r="C11" s="249" t="s">
        <v>791</v>
      </c>
      <c r="D11" s="257"/>
      <c r="E11" s="257"/>
      <c r="F11" s="250"/>
      <c r="G11" s="63" t="str">
        <f>_xlfn.CONCAT(_xlfn.XLOOKUP("[S04_IEDProcedureRequirementsIntegratedYes][4][IntegrationYesNo]",Submission!$O:$O,Submission!$H:$N,""))</f>
        <v>No</v>
      </c>
      <c r="H11" s="258" t="str">
        <f>_xlfn.CONCAT(_xlfn.XLOOKUP("[S04_IEDProcedureRequirementsIntegratedYes][4][IntegrationComments]",Submission!$O:$O,Submission!$H:$N,""))</f>
        <v/>
      </c>
      <c r="I11" s="260"/>
    </row>
    <row r="12" spans="1:9" s="58" customFormat="1" ht="31.95" customHeight="1" x14ac:dyDescent="0.3">
      <c r="A12" s="75"/>
      <c r="C12" s="249" t="s">
        <v>119</v>
      </c>
      <c r="D12" s="257"/>
      <c r="E12" s="257"/>
      <c r="F12" s="250"/>
      <c r="G12" s="63" t="str">
        <f>_xlfn.CONCAT(_xlfn.XLOOKUP("[S04_IEDProcedureRequirementsIntegratedYes][5][IntegrationYesNo]",Submission!$O:$O,Submission!$H:$N,""))</f>
        <v>No</v>
      </c>
      <c r="H12" s="258" t="str">
        <f>_xlfn.CONCAT(_xlfn.XLOOKUP("[S04_IEDProcedureRequirementsIntegratedYes][5][IntegrationComments]",Submission!$O:$O,Submission!$H:$N,""))</f>
        <v>IED regulators do not carry inspections of EU ETS. An inspection carriečd by CIZP may focuss both on IED and EU ETS.</v>
      </c>
      <c r="I12" s="260"/>
    </row>
    <row r="13" spans="1:9" s="58" customFormat="1" ht="31.95" customHeight="1" x14ac:dyDescent="0.3">
      <c r="A13" s="75"/>
      <c r="C13" s="249" t="s">
        <v>792</v>
      </c>
      <c r="D13" s="272"/>
      <c r="E13" s="272"/>
      <c r="F13" s="273"/>
      <c r="G13" s="63" t="str">
        <f>_xlfn.CONCAT(_xlfn.XLOOKUP("[S04_IEDProcedureRequirementsIntegratedYes][6][IntegrationYesNo]",Submission!$O:$O,Submission!$H:$N,""))</f>
        <v>No</v>
      </c>
      <c r="H13" s="258" t="str">
        <f>_xlfn.CONCAT(_xlfn.XLOOKUP("[S04_IEDProcedureRequirementsIntegratedYes][6][IntegrationComments]",Submission!$O:$O,Submission!$H:$N,""))</f>
        <v/>
      </c>
      <c r="I13" s="260"/>
    </row>
    <row r="14" spans="1:9" s="58" customFormat="1" ht="31.95" customHeight="1" x14ac:dyDescent="0.3">
      <c r="A14" s="75"/>
      <c r="C14" s="249" t="s">
        <v>793</v>
      </c>
      <c r="D14" s="257"/>
      <c r="E14" s="257"/>
      <c r="F14" s="250"/>
      <c r="G14" s="63" t="str">
        <f>_xlfn.CONCAT(_xlfn.XLOOKUP("[S04_IEDProcedureRequirementsIntegratedYes][7][IntegrationYesNo]",Submission!$O:$O,Submission!$H:$N,""))</f>
        <v>No</v>
      </c>
      <c r="H14" s="258" t="str">
        <f>_xlfn.CONCAT(_xlfn.XLOOKUP("[S04_IEDProcedureRequirementsIntegratedYes][7][IntegrationComments]",Submission!$O:$O,Submission!$H:$N,""))</f>
        <v/>
      </c>
      <c r="I14" s="260"/>
    </row>
    <row r="15" spans="1:9" s="58" customFormat="1" ht="31.95" customHeight="1" x14ac:dyDescent="0.3">
      <c r="A15" s="75"/>
      <c r="C15" s="249" t="s">
        <v>794</v>
      </c>
      <c r="D15" s="272"/>
      <c r="E15" s="272"/>
      <c r="F15" s="272"/>
      <c r="G15" s="63" t="str">
        <f>_xlfn.CONCAT(_xlfn.XLOOKUP("[S04_IEDProcedureRequirementsIntegratedYes][8][IntegrationYesNo]",Submission!$O:$O,Submission!$H:$N,""))</f>
        <v>No</v>
      </c>
      <c r="H15" s="258" t="str">
        <f>_xlfn.CONCAT(_xlfn.XLOOKUP("[S04_IEDProcedureRequirementsIntegratedYes][8][IntegrationComments]",Submission!$O:$O,Submission!$H:$N,""))</f>
        <v/>
      </c>
      <c r="I15" s="260"/>
    </row>
    <row r="16" spans="1:9" ht="19.5" customHeight="1" x14ac:dyDescent="0.3">
      <c r="C16" s="20"/>
      <c r="D16" s="20"/>
      <c r="E16" s="20"/>
      <c r="F16" s="20"/>
      <c r="G16" s="20"/>
      <c r="H16" s="20"/>
      <c r="I16" s="20"/>
    </row>
    <row r="17" spans="1:9" ht="36" customHeight="1" x14ac:dyDescent="0.3">
      <c r="A17" s="12" t="s">
        <v>123</v>
      </c>
      <c r="B17" s="307" t="s">
        <v>795</v>
      </c>
      <c r="C17" s="308"/>
      <c r="D17" s="308"/>
      <c r="E17" s="308"/>
      <c r="F17" s="308"/>
      <c r="G17" s="308"/>
      <c r="H17" s="308"/>
      <c r="I17" s="308"/>
    </row>
    <row r="18" spans="1:9" ht="15.9" customHeight="1" x14ac:dyDescent="0.3">
      <c r="C18" s="45" t="s">
        <v>129</v>
      </c>
      <c r="D18" s="141"/>
      <c r="E18" s="141"/>
      <c r="F18" s="141"/>
      <c r="G18" s="333" t="s">
        <v>796</v>
      </c>
      <c r="H18" s="333"/>
      <c r="I18" s="334"/>
    </row>
    <row r="19" spans="1:9" ht="15.9" customHeight="1" x14ac:dyDescent="0.3">
      <c r="C19" s="301" t="s">
        <v>130</v>
      </c>
      <c r="D19" s="332"/>
      <c r="E19" s="332"/>
      <c r="F19" s="347"/>
      <c r="G19" s="348" t="str">
        <f>_xlfn.CONCAT(_xlfn.XLOOKUP("[S04_NationalLawPermitUpdate][1][PermitUpdateNationalLawDetail]",Submission!$O:$O,Submission!$H:$N,""))</f>
        <v>serious breach of operator's duties, not using the permit for more than 2 years without particular reason, operator's own request, cessation in sense of Art. 22(1)(d, e) of Commission Decision No. 2011/278/EU, change of conditions decisive for the issuance of the permit</v>
      </c>
      <c r="H19" s="349"/>
      <c r="I19" s="350"/>
    </row>
    <row r="20" spans="1:9" ht="15.9" customHeight="1" x14ac:dyDescent="0.3">
      <c r="C20" s="301" t="s">
        <v>797</v>
      </c>
      <c r="D20" s="332"/>
      <c r="E20" s="332"/>
      <c r="F20" s="347"/>
      <c r="G20" s="348" t="str">
        <f>_xlfn.CONCAT(_xlfn.XLOOKUP("[S04_NationalLawPermitUpdate][2][PermitUpdateNationalLawDetail]",Submission!$O:$O,Submission!$H:$N,""))</f>
        <v>no (permit is not time-limited)</v>
      </c>
      <c r="H20" s="349"/>
      <c r="I20" s="350"/>
    </row>
    <row r="21" spans="1:9" ht="15.9" customHeight="1" x14ac:dyDescent="0.3">
      <c r="C21" s="301" t="s">
        <v>134</v>
      </c>
      <c r="D21" s="332"/>
      <c r="E21" s="332"/>
      <c r="F21" s="347"/>
      <c r="G21" s="348" t="str">
        <f>_xlfn.CONCAT(_xlfn.XLOOKUP("[S04_NationalLawPermitUpdate][3][PermitUpdateNationalLawDetail]",Submission!$O:$O,Submission!$H:$N,""))</f>
        <v>always, if the production capacity or the rated thermal output changes</v>
      </c>
      <c r="H21" s="349"/>
      <c r="I21" s="350"/>
    </row>
    <row r="22" spans="1:9" ht="15.9" customHeight="1" x14ac:dyDescent="0.3">
      <c r="C22" s="301" t="s">
        <v>136</v>
      </c>
      <c r="D22" s="332"/>
      <c r="E22" s="332"/>
      <c r="F22" s="347"/>
      <c r="G22" s="348" t="str">
        <f>_xlfn.CONCAT(_xlfn.XLOOKUP("[S04_NationalLawPermitUpdate][4][PermitUpdateNationalLawDetail]",Submission!$O:$O,Submission!$H:$N,""))</f>
        <v>always, if the production capacity or the rated thermal output changes</v>
      </c>
      <c r="H22" s="349"/>
      <c r="I22" s="350"/>
    </row>
    <row r="23" spans="1:9" ht="15.9" customHeight="1" x14ac:dyDescent="0.3">
      <c r="C23" s="301" t="s">
        <v>138</v>
      </c>
      <c r="D23" s="332"/>
      <c r="E23" s="332"/>
      <c r="F23" s="347"/>
      <c r="G23" s="348" t="str">
        <f>_xlfn.CONCAT(_xlfn.XLOOKUP("[S04_NationalLawPermitUpdate][5][PermitUpdateNationalLawDetail]",Submission!$O:$O,Submission!$H:$N,""))</f>
        <v>always, if a significant modification to the monitoring plan occurs</v>
      </c>
      <c r="H23" s="349"/>
      <c r="I23" s="350"/>
    </row>
    <row r="24" spans="1:9" ht="15.9" customHeight="1" x14ac:dyDescent="0.3">
      <c r="C24" s="301" t="s">
        <v>798</v>
      </c>
      <c r="D24" s="332"/>
      <c r="E24" s="332"/>
      <c r="F24" s="347"/>
      <c r="G24" s="348" t="str">
        <f>_xlfn.CONCAT(_xlfn.XLOOKUP("[S04_NationalLawPermitUpdate][6][PermitUpdateNationalLawDetail]",Submission!$O:$O,Submission!$H:$N,""))</f>
        <v>in case of changed identity or contact information of an installation operator</v>
      </c>
      <c r="H24" s="349"/>
      <c r="I24" s="350"/>
    </row>
    <row r="25" spans="1:9" ht="15.9" hidden="1" customHeight="1" outlineLevel="1" x14ac:dyDescent="0.3">
      <c r="C25" s="301" t="s">
        <v>799</v>
      </c>
      <c r="D25" s="332"/>
      <c r="E25" s="332"/>
      <c r="F25" s="347"/>
      <c r="G25" s="348" t="str">
        <f>_xlfn.CONCAT(_xlfn.XLOOKUP("[S04_NationalLawPermitUpdate][7][PermitUpdateNationalLawDetail]",Submission!$O:$O,Submission!$H:$N,""))</f>
        <v/>
      </c>
      <c r="H25" s="349"/>
      <c r="I25" s="350"/>
    </row>
    <row r="26" spans="1:9" ht="15.9" hidden="1" customHeight="1" outlineLevel="1" x14ac:dyDescent="0.3">
      <c r="C26" s="301" t="s">
        <v>800</v>
      </c>
      <c r="D26" s="332"/>
      <c r="E26" s="332"/>
      <c r="F26" s="347"/>
      <c r="G26" s="348" t="str">
        <f>_xlfn.CONCAT(_xlfn.XLOOKUP("[S04_NationalLawPermitUpdate][8][PermitUpdateNationalLawDetail]",Submission!$O:$O,Submission!$H:$N,""))</f>
        <v/>
      </c>
      <c r="H26" s="349"/>
      <c r="I26" s="350"/>
    </row>
    <row r="27" spans="1:9" ht="15.9" hidden="1" customHeight="1" outlineLevel="1" x14ac:dyDescent="0.3">
      <c r="C27" s="301" t="s">
        <v>801</v>
      </c>
      <c r="D27" s="332"/>
      <c r="E27" s="332"/>
      <c r="F27" s="347"/>
      <c r="G27" s="348" t="str">
        <f>_xlfn.CONCAT(_xlfn.XLOOKUP("[S04_NationalLawPermitUpdate][9][PermitUpdateNationalLawDetail]",Submission!$O:$O,Submission!$H:$N,""))</f>
        <v/>
      </c>
      <c r="H27" s="349"/>
      <c r="I27" s="350"/>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5" t="s">
        <v>803</v>
      </c>
      <c r="C30" s="276"/>
      <c r="D30" s="276"/>
      <c r="E30" s="276"/>
      <c r="F30" s="276"/>
      <c r="G30" s="276"/>
      <c r="H30" s="276"/>
      <c r="I30" s="276"/>
    </row>
    <row r="31" spans="1:9" ht="15.9" customHeight="1" x14ac:dyDescent="0.3">
      <c r="B31" s="11"/>
      <c r="C31" s="314" t="s">
        <v>804</v>
      </c>
      <c r="D31" s="315"/>
      <c r="E31" s="315"/>
      <c r="F31" s="315"/>
      <c r="G31" s="316"/>
      <c r="H31" s="351" t="str">
        <f>_xlfn.CONCAT(_xlfn.XLOOKUP("[PermitUpdateTotalNumber][0][PermitUpdateTotalNumber]",Submission!$O:$O,Submission!$H:$N,""))</f>
        <v>69</v>
      </c>
      <c r="I31" s="352"/>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5" t="s">
        <v>805</v>
      </c>
      <c r="C3" s="385"/>
      <c r="D3" s="385"/>
      <c r="E3" s="385"/>
      <c r="F3" s="385"/>
      <c r="G3" s="385"/>
      <c r="H3" s="385"/>
      <c r="I3" s="385"/>
    </row>
    <row r="4" spans="1:9" s="7" customFormat="1" ht="18" x14ac:dyDescent="0.35">
      <c r="A4" s="85" t="s">
        <v>806</v>
      </c>
      <c r="B4" s="310" t="s">
        <v>145</v>
      </c>
      <c r="C4" s="310"/>
      <c r="D4" s="310"/>
      <c r="E4" s="310"/>
      <c r="F4" s="310"/>
      <c r="G4" s="310"/>
      <c r="H4" s="310"/>
      <c r="I4" s="311"/>
    </row>
    <row r="5" spans="1:9" s="7" customFormat="1" ht="15.9" customHeight="1" x14ac:dyDescent="0.3">
      <c r="A5" s="30" t="s">
        <v>146</v>
      </c>
      <c r="B5" s="395" t="s">
        <v>807</v>
      </c>
      <c r="C5" s="396"/>
      <c r="D5" s="396"/>
      <c r="E5" s="396"/>
      <c r="F5" s="396"/>
      <c r="G5" s="396"/>
      <c r="H5" s="396"/>
      <c r="I5" s="396"/>
    </row>
    <row r="6" spans="1:9" s="7" customFormat="1" ht="15.9" customHeight="1" x14ac:dyDescent="0.3">
      <c r="B6" s="389" t="s">
        <v>808</v>
      </c>
      <c r="C6" s="390"/>
      <c r="D6" s="390"/>
      <c r="E6" s="390"/>
      <c r="F6" s="390"/>
      <c r="G6" s="390"/>
      <c r="H6" s="391"/>
      <c r="I6" s="41" t="str">
        <f>_xlfn.CONCAT(_xlfn.XLOOKUP("[AdditionalNationalLegislation][0][AdditionalNationalLegislation]",Submission!$O:$O,Submission!$H:$N,""))</f>
        <v>Yes</v>
      </c>
    </row>
    <row r="7" spans="1:9" s="7" customFormat="1" ht="17.399999999999999" customHeight="1" x14ac:dyDescent="0.3">
      <c r="B7" s="264" t="s">
        <v>809</v>
      </c>
      <c r="C7" s="265"/>
      <c r="D7" s="265"/>
      <c r="E7" s="265"/>
      <c r="F7" s="265"/>
      <c r="G7" s="265"/>
      <c r="H7" s="265"/>
      <c r="I7" s="265"/>
    </row>
    <row r="8" spans="1:9" s="7" customFormat="1" ht="27" customHeight="1" x14ac:dyDescent="0.3">
      <c r="A8" s="8"/>
      <c r="C8" s="258" t="str">
        <f>_xlfn.CONCAT(_xlfn.XLOOKUP("[AdditionalNationalLegislationDetail][0][AdditionalNationalLegislationDetail]",Submission!$O:$O,Submission!$H:$N,""))</f>
        <v>Act No. 383/2012 Coll., On Condiotions of Emission Trading, review No. 1/2020 Coll. Regulation of the Ministry of the
Environment No. 192/2013 Coll. (new installation permit form and aviation free allocation request form)</v>
      </c>
      <c r="D8" s="369"/>
      <c r="E8" s="369"/>
      <c r="F8" s="369"/>
      <c r="G8" s="369"/>
      <c r="H8" s="369"/>
      <c r="I8" s="259"/>
    </row>
    <row r="9" spans="1:9" s="7" customFormat="1" ht="14.4" x14ac:dyDescent="0.3">
      <c r="A9" s="8"/>
      <c r="D9" s="31"/>
      <c r="E9" s="31"/>
      <c r="F9" s="31"/>
      <c r="G9" s="31"/>
      <c r="H9" s="31"/>
      <c r="I9" s="31"/>
    </row>
    <row r="10" spans="1:9" s="7" customFormat="1" ht="15.9" customHeight="1" x14ac:dyDescent="0.3">
      <c r="A10" s="30"/>
      <c r="B10" s="389" t="s">
        <v>810</v>
      </c>
      <c r="C10" s="390"/>
      <c r="D10" s="390"/>
      <c r="E10" s="390"/>
      <c r="F10" s="390"/>
      <c r="G10" s="390"/>
      <c r="H10" s="391"/>
      <c r="I10" s="41" t="str">
        <f>_xlfn.CONCAT(_xlfn.XLOOKUP("[AdditionalNationalGuidance][0][AdditionalNationalGuidance]",Submission!$O:$O,Submission!$H:$N,""))</f>
        <v>Yes</v>
      </c>
    </row>
    <row r="11" spans="1:9" s="7" customFormat="1" ht="17.399999999999999" customHeight="1" x14ac:dyDescent="0.3">
      <c r="A11" s="30"/>
      <c r="B11" s="264" t="s">
        <v>811</v>
      </c>
      <c r="C11" s="265"/>
      <c r="D11" s="265"/>
      <c r="E11" s="265"/>
      <c r="F11" s="265"/>
      <c r="G11" s="265"/>
      <c r="H11" s="265"/>
      <c r="I11" s="265"/>
    </row>
    <row r="12" spans="1:9" s="7" customFormat="1" ht="15" customHeight="1" x14ac:dyDescent="0.3">
      <c r="A12" s="8"/>
      <c r="C12" s="258" t="str">
        <f>_xlfn.CONCAT(_xlfn.XLOOKUP("[AdditionalNationalGuidanceDetail][0][AdditionalNationalGuidanceDetail]",Submission!$O:$O,Submission!$H:$N,""))</f>
        <v>Guidance on the uncertainty assessment</v>
      </c>
      <c r="D12" s="369"/>
      <c r="E12" s="369"/>
      <c r="F12" s="369"/>
      <c r="G12" s="369"/>
      <c r="H12" s="369"/>
      <c r="I12" s="259"/>
    </row>
    <row r="13" spans="1:9" ht="18" customHeight="1" x14ac:dyDescent="0.3">
      <c r="A13" s="145" t="s">
        <v>152</v>
      </c>
      <c r="B13" s="392" t="s">
        <v>812</v>
      </c>
      <c r="C13" s="393"/>
      <c r="D13" s="393"/>
      <c r="E13" s="393"/>
      <c r="F13" s="393"/>
      <c r="G13" s="393"/>
      <c r="H13" s="393"/>
      <c r="I13" s="393"/>
    </row>
    <row r="14" spans="1:9" ht="37.200000000000003" customHeight="1" x14ac:dyDescent="0.3">
      <c r="A14" s="12"/>
      <c r="B14" s="275" t="s">
        <v>813</v>
      </c>
      <c r="C14" s="276"/>
      <c r="D14" s="276"/>
      <c r="E14" s="276"/>
      <c r="F14" s="276"/>
      <c r="G14" s="276"/>
      <c r="H14" s="276"/>
      <c r="I14" s="276"/>
    </row>
    <row r="15" spans="1:9" ht="15.9" customHeight="1" x14ac:dyDescent="0.3">
      <c r="A15" s="13"/>
      <c r="C15" s="371" t="s">
        <v>814</v>
      </c>
      <c r="D15" s="371"/>
      <c r="E15" s="371"/>
      <c r="F15" s="371"/>
      <c r="G15" s="42" t="s">
        <v>709</v>
      </c>
      <c r="H15" s="371" t="s">
        <v>710</v>
      </c>
      <c r="I15" s="371"/>
    </row>
    <row r="16" spans="1:9" s="58" customFormat="1" ht="32.4" customHeight="1" x14ac:dyDescent="0.3">
      <c r="C16" s="382" t="s">
        <v>815</v>
      </c>
      <c r="D16" s="382"/>
      <c r="E16" s="382"/>
      <c r="F16" s="382"/>
      <c r="G16" s="47" t="str">
        <f>_xlfn.CONCAT(_xlfn.XLOOKUP("[MeasuresStreamline][1][MeasuresStreamlineYesNo]",Submission!$O:$O,Submission!$H:$N,""))</f>
        <v>Yes</v>
      </c>
      <c r="H16" s="394" t="str">
        <f>_xlfn.CONCAT(_xlfn.XLOOKUP("[MeasuresStreamline][1][MeasuresStreamlineComments]",Submission!$O:$O,Submission!$H:$N,""))</f>
        <v>Communication and coordination with the Czech Hydrometeorological Institute (CHMI)</v>
      </c>
      <c r="I16" s="394"/>
    </row>
    <row r="17" spans="1:9" s="58" customFormat="1" ht="32.4" customHeight="1" x14ac:dyDescent="0.3">
      <c r="C17" s="382" t="s">
        <v>816</v>
      </c>
      <c r="D17" s="382"/>
      <c r="E17" s="382"/>
      <c r="F17" s="382"/>
      <c r="G17" s="47" t="str">
        <f>_xlfn.CONCAT(_xlfn.XLOOKUP("[MeasuresStreamline][2][MeasuresStreamlineYesNo]",Submission!$O:$O,Submission!$H:$N,""))</f>
        <v>Yes</v>
      </c>
      <c r="H17" s="394" t="str">
        <f>_xlfn.CONCAT(_xlfn.XLOOKUP("[MeasuresStreamline][2][MeasuresStreamlineComments]",Submission!$O:$O,Submission!$H:$N,""))</f>
        <v/>
      </c>
      <c r="I17" s="394"/>
    </row>
    <row r="18" spans="1:9" s="58" customFormat="1" ht="32.4" customHeight="1" x14ac:dyDescent="0.3">
      <c r="C18" s="382" t="s">
        <v>817</v>
      </c>
      <c r="D18" s="382"/>
      <c r="E18" s="382"/>
      <c r="F18" s="382"/>
      <c r="G18" s="47" t="str">
        <f>_xlfn.CONCAT(_xlfn.XLOOKUP("[MeasuresStreamline][3][MeasuresStreamlineYesNo]",Submission!$O:$O,Submission!$H:$N,""))</f>
        <v>No</v>
      </c>
      <c r="H18" s="394" t="str">
        <f>_xlfn.CONCAT(_xlfn.XLOOKUP("[MeasuresStreamline][3][MeasuresStreamlineComments]",Submission!$O:$O,Submission!$H:$N,""))</f>
        <v/>
      </c>
      <c r="I18" s="394"/>
    </row>
    <row r="19" spans="1:9" s="58" customFormat="1" ht="32.4" customHeight="1" x14ac:dyDescent="0.3">
      <c r="C19" s="382" t="s">
        <v>818</v>
      </c>
      <c r="D19" s="382"/>
      <c r="E19" s="382"/>
      <c r="F19" s="382"/>
      <c r="G19" s="47" t="str">
        <f>_xlfn.CONCAT(_xlfn.XLOOKUP("[MeasuresStreamline][4][MeasuresStreamlineYesNo]",Submission!$O:$O,Submission!$H:$N,""))</f>
        <v>Yes</v>
      </c>
      <c r="H19" s="394" t="str">
        <f>_xlfn.CONCAT(_xlfn.XLOOKUP("[MeasuresStreamline][4][MeasuresStreamlineComments]",Submission!$O:$O,Submission!$H:$N,""))</f>
        <v/>
      </c>
      <c r="I19" s="394"/>
    </row>
    <row r="20" spans="1:9" s="58" customFormat="1" ht="32.4" customHeight="1" x14ac:dyDescent="0.3">
      <c r="C20" s="382" t="s">
        <v>819</v>
      </c>
      <c r="D20" s="382"/>
      <c r="E20" s="382"/>
      <c r="F20" s="382"/>
      <c r="G20" s="47" t="str">
        <f>_xlfn.CONCAT(_xlfn.XLOOKUP("[MeasuresStreamline][5][MeasuresStreamlineYesNo]",Submission!$O:$O,Submission!$H:$N,""))</f>
        <v>No</v>
      </c>
      <c r="H20" s="394" t="str">
        <f>_xlfn.CONCAT(_xlfn.XLOOKUP("[MeasuresStreamline][5][MeasuresStreamlineComments]",Submission!$O:$O,Submission!$H:$N,""))</f>
        <v/>
      </c>
      <c r="I20" s="394"/>
    </row>
    <row r="21" spans="1:9" s="58" customFormat="1" ht="32.4" customHeight="1" x14ac:dyDescent="0.3">
      <c r="C21" s="382" t="s">
        <v>820</v>
      </c>
      <c r="D21" s="382"/>
      <c r="E21" s="382"/>
      <c r="F21" s="382"/>
      <c r="G21" s="47" t="str">
        <f>_xlfn.CONCAT(_xlfn.XLOOKUP("[MeasuresStreamline][6][MeasuresStreamlineYesNo]",Submission!$O:$O,Submission!$H:$N,""))</f>
        <v>No</v>
      </c>
      <c r="H21" s="394" t="str">
        <f>_xlfn.CONCAT(_xlfn.XLOOKUP("[MeasuresStreamline][6][MeasuresStreamlineComments]",Submission!$O:$O,Submission!$H:$N,""))</f>
        <v/>
      </c>
      <c r="I21" s="394"/>
    </row>
    <row r="22" spans="1:9" s="58" customFormat="1" ht="32.4" customHeight="1" x14ac:dyDescent="0.3">
      <c r="A22" s="75"/>
      <c r="C22" s="249" t="s">
        <v>821</v>
      </c>
      <c r="D22" s="272"/>
      <c r="E22" s="272"/>
      <c r="F22" s="273"/>
      <c r="G22" s="47" t="str">
        <f>_xlfn.CONCAT(_xlfn.XLOOKUP("[MeasuresStreamline][7][MeasuresStreamlineYesNo]",Submission!$O:$O,Submission!$H:$N,""))</f>
        <v>No</v>
      </c>
      <c r="H22" s="394" t="str">
        <f>_xlfn.CONCAT(_xlfn.XLOOKUP("[MeasuresStreamline][7][MeasuresStreamlineComments]",Submission!$O:$O,Submission!$H:$N,""))</f>
        <v/>
      </c>
      <c r="I22" s="394"/>
    </row>
    <row r="23" spans="1:9" ht="15.9" customHeight="1" x14ac:dyDescent="0.3">
      <c r="C23" s="32"/>
      <c r="D23" s="32"/>
      <c r="E23" s="32"/>
      <c r="H23" s="32"/>
      <c r="I23" s="32"/>
    </row>
    <row r="24" spans="1:9" ht="15.6" customHeight="1" x14ac:dyDescent="0.3">
      <c r="A24" s="145" t="s">
        <v>169</v>
      </c>
      <c r="B24" s="392" t="s">
        <v>822</v>
      </c>
      <c r="C24" s="393"/>
      <c r="D24" s="393"/>
      <c r="E24" s="393"/>
      <c r="F24" s="393"/>
      <c r="G24" s="393"/>
      <c r="H24" s="393"/>
      <c r="I24" s="393"/>
    </row>
    <row r="25" spans="1:9" ht="36.6" customHeight="1" x14ac:dyDescent="0.3">
      <c r="A25" s="12"/>
      <c r="B25" s="338" t="s">
        <v>823</v>
      </c>
      <c r="C25" s="308"/>
      <c r="D25" s="308"/>
      <c r="E25" s="308"/>
      <c r="F25" s="308"/>
      <c r="G25" s="308"/>
      <c r="H25" s="345"/>
      <c r="I25" s="47" t="str">
        <f>_xlfn.CONCAT(_xlfn.XLOOKUP("[CommissionTemplatesMRR][0][CommissionTemplatesMRR]",Submission!$O:$O,Submission!$H:$N,""))</f>
        <v>Yes</v>
      </c>
    </row>
    <row r="26" spans="1:9" s="7" customFormat="1" ht="36.6" customHeight="1" x14ac:dyDescent="0.3">
      <c r="A26" s="30"/>
      <c r="B26" s="264" t="s">
        <v>824</v>
      </c>
      <c r="C26" s="265"/>
      <c r="D26" s="265"/>
      <c r="E26" s="265"/>
      <c r="F26" s="265"/>
      <c r="G26" s="265"/>
      <c r="H26" s="265"/>
      <c r="I26" s="265"/>
    </row>
    <row r="27" spans="1:9" ht="28.95" customHeight="1" x14ac:dyDescent="0.3">
      <c r="C27" s="330"/>
      <c r="D27" s="386"/>
      <c r="E27" s="387"/>
      <c r="F27" s="314" t="s">
        <v>825</v>
      </c>
      <c r="G27" s="316"/>
      <c r="H27" s="314" t="s">
        <v>826</v>
      </c>
      <c r="I27" s="316"/>
    </row>
    <row r="28" spans="1:9" ht="15.9" customHeight="1" x14ac:dyDescent="0.3">
      <c r="C28" s="251" t="s">
        <v>827</v>
      </c>
      <c r="D28" s="257"/>
      <c r="E28" s="250"/>
      <c r="F28" s="274" t="str">
        <f>_xlfn.CONCAT(_xlfn.XLOOKUP("[S05_MSCustomisedTemplatesMRR1][1][SpecificTemplateOrFileFormat]",Submission!$O:$O,Submission!$H:$N,""))</f>
        <v/>
      </c>
      <c r="G28" s="364"/>
      <c r="H28" s="388" t="str">
        <f>_xlfn.CONCAT(_xlfn.XLOOKUP("[S05_MSCustomisedTemplatesMRR1][1][HowTemplateSpecific]",Submission!$O:$O,Submission!$H:$N,""))</f>
        <v/>
      </c>
      <c r="I28" s="388"/>
    </row>
    <row r="29" spans="1:9" ht="15.9" customHeight="1" x14ac:dyDescent="0.3">
      <c r="C29" s="251" t="s">
        <v>828</v>
      </c>
      <c r="D29" s="257"/>
      <c r="E29" s="250"/>
      <c r="F29" s="274" t="str">
        <f>_xlfn.CONCAT(_xlfn.XLOOKUP("[S05_MSCustomisedTemplatesMRR1][2][SpecificTemplateOrFileFormat]",Submission!$O:$O,Submission!$H:$N,""))</f>
        <v/>
      </c>
      <c r="G29" s="364"/>
      <c r="H29" s="388" t="str">
        <f>_xlfn.CONCAT(_xlfn.XLOOKUP("[S05_MSCustomisedTemplatesMRR1][2][HowTemplateSpecific]",Submission!$O:$O,Submission!$H:$N,""))</f>
        <v/>
      </c>
      <c r="I29" s="388"/>
    </row>
    <row r="30" spans="1:9" ht="15.9" customHeight="1" x14ac:dyDescent="0.3">
      <c r="C30" s="251" t="s">
        <v>829</v>
      </c>
      <c r="D30" s="257"/>
      <c r="E30" s="250"/>
      <c r="F30" s="274" t="str">
        <f>_xlfn.CONCAT(_xlfn.XLOOKUP("[S05_MSCustomisedTemplatesMRR1][3][SpecificTemplateOrFileFormat]",Submission!$O:$O,Submission!$H:$N,""))</f>
        <v/>
      </c>
      <c r="G30" s="364"/>
      <c r="H30" s="388" t="str">
        <f>_xlfn.CONCAT(_xlfn.XLOOKUP("[S05_MSCustomisedTemplatesMRR1][3][HowTemplateSpecific]",Submission!$O:$O,Submission!$H:$N,""))</f>
        <v/>
      </c>
      <c r="I30" s="388"/>
    </row>
    <row r="31" spans="1:9" ht="15.9" customHeight="1" x14ac:dyDescent="0.3">
      <c r="C31" s="251" t="s">
        <v>830</v>
      </c>
      <c r="D31" s="257"/>
      <c r="E31" s="250"/>
      <c r="F31" s="274" t="str">
        <f>_xlfn.CONCAT(_xlfn.XLOOKUP("[S05_MSCustomisedTemplatesMRR1][4][SpecificTemplateOrFileFormat]",Submission!$O:$O,Submission!$H:$N,""))</f>
        <v/>
      </c>
      <c r="G31" s="364"/>
      <c r="H31" s="388" t="str">
        <f>_xlfn.CONCAT(_xlfn.XLOOKUP("[S05_MSCustomisedTemplatesMRR1][4][HowTemplateSpecific]",Submission!$O:$O,Submission!$H:$N,""))</f>
        <v/>
      </c>
      <c r="I31" s="388"/>
    </row>
    <row r="32" spans="1:9" ht="15.9" customHeight="1" x14ac:dyDescent="0.3">
      <c r="C32" s="344" t="s">
        <v>831</v>
      </c>
      <c r="D32" s="344"/>
      <c r="E32" s="344"/>
      <c r="F32" s="344"/>
      <c r="G32" s="344"/>
      <c r="H32" s="344"/>
      <c r="I32" s="344"/>
    </row>
    <row r="33" spans="1:9" ht="15.9" customHeight="1" x14ac:dyDescent="0.3">
      <c r="B33" s="14"/>
      <c r="C33" s="14"/>
      <c r="D33" s="14"/>
      <c r="E33" s="14"/>
      <c r="F33" s="14"/>
      <c r="G33" s="14"/>
      <c r="H33" s="14"/>
      <c r="I33" s="14"/>
    </row>
    <row r="34" spans="1:9" ht="26.1" customHeight="1" x14ac:dyDescent="0.3">
      <c r="C34" s="330"/>
      <c r="D34" s="386"/>
      <c r="E34" s="387"/>
      <c r="F34" s="314" t="s">
        <v>832</v>
      </c>
      <c r="G34" s="316"/>
      <c r="H34" s="314" t="s">
        <v>826</v>
      </c>
      <c r="I34" s="316"/>
    </row>
    <row r="35" spans="1:9" ht="15.9" customHeight="1" x14ac:dyDescent="0.3">
      <c r="C35" s="251" t="s">
        <v>833</v>
      </c>
      <c r="D35" s="257"/>
      <c r="E35" s="250"/>
      <c r="F35" s="274" t="str">
        <f>_xlfn.CONCAT(_xlfn.XLOOKUP("[S05_MSCustomisedTemplatesMRR2][1][SpecificTemplateOrFileFormat]",Submission!$O:$O,Submission!$H:$N,""))</f>
        <v/>
      </c>
      <c r="G35" s="364"/>
      <c r="H35" s="388" t="str">
        <f>_xlfn.CONCAT(_xlfn.XLOOKUP("[S05_MSCustomisedTemplatesMRR2][1][HowTemplateSpecific]",Submission!$O:$O,Submission!$H:$N,""))</f>
        <v/>
      </c>
      <c r="I35" s="388"/>
    </row>
    <row r="36" spans="1:9" ht="15.9" customHeight="1" x14ac:dyDescent="0.3">
      <c r="C36" s="251" t="s">
        <v>834</v>
      </c>
      <c r="D36" s="257"/>
      <c r="E36" s="250"/>
      <c r="F36" s="274" t="str">
        <f>_xlfn.CONCAT(_xlfn.XLOOKUP("[S05_MSCustomisedTemplatesMRR2][2][SpecificTemplateOrFileFormat]",Submission!$O:$O,Submission!$H:$N,""))</f>
        <v/>
      </c>
      <c r="G36" s="364"/>
      <c r="H36" s="388" t="str">
        <f>_xlfn.CONCAT(_xlfn.XLOOKUP("[S05_MSCustomisedTemplatesMRR2][2][HowTemplateSpecific]",Submission!$O:$O,Submission!$H:$N,""))</f>
        <v/>
      </c>
      <c r="I36" s="388"/>
    </row>
    <row r="37" spans="1:9" ht="15.9" customHeight="1" x14ac:dyDescent="0.3">
      <c r="C37" s="251" t="s">
        <v>835</v>
      </c>
      <c r="D37" s="257"/>
      <c r="E37" s="250"/>
      <c r="F37" s="274" t="str">
        <f>_xlfn.CONCAT(_xlfn.XLOOKUP("[S05_MSCustomisedTemplatesMRR2][3][SpecificTemplateOrFileFormat]",Submission!$O:$O,Submission!$H:$N,""))</f>
        <v/>
      </c>
      <c r="G37" s="364"/>
      <c r="H37" s="388" t="str">
        <f>_xlfn.CONCAT(_xlfn.XLOOKUP("[S05_MSCustomisedTemplatesMRR2][3][HowTemplateSpecific]",Submission!$O:$O,Submission!$H:$N,""))</f>
        <v/>
      </c>
      <c r="I37" s="388"/>
    </row>
    <row r="38" spans="1:9" ht="15.9" customHeight="1" x14ac:dyDescent="0.3">
      <c r="C38" s="251" t="s">
        <v>836</v>
      </c>
      <c r="D38" s="257"/>
      <c r="E38" s="250"/>
      <c r="F38" s="274" t="str">
        <f>_xlfn.CONCAT(_xlfn.XLOOKUP("[S05_MSCustomisedTemplatesMRR2][4][SpecificTemplateOrFileFormat]",Submission!$O:$O,Submission!$H:$N,""))</f>
        <v/>
      </c>
      <c r="G38" s="364"/>
      <c r="H38" s="388" t="str">
        <f>_xlfn.CONCAT(_xlfn.XLOOKUP("[S05_MSCustomisedTemplatesMRR2][4][HowTemplateSpecific]",Submission!$O:$O,Submission!$H:$N,""))</f>
        <v/>
      </c>
      <c r="I38" s="388"/>
    </row>
    <row r="39" spans="1:9" ht="15.9" customHeight="1" x14ac:dyDescent="0.3">
      <c r="C39" s="344" t="s">
        <v>837</v>
      </c>
      <c r="D39" s="344"/>
      <c r="E39" s="344"/>
      <c r="F39" s="344"/>
      <c r="G39" s="344"/>
      <c r="H39" s="344"/>
      <c r="I39" s="344"/>
    </row>
    <row r="40" spans="1:9" s="10" customFormat="1" ht="14.4" x14ac:dyDescent="0.3">
      <c r="A40" s="9"/>
      <c r="C40" s="20"/>
      <c r="D40" s="24"/>
      <c r="E40" s="24"/>
      <c r="F40" s="24"/>
      <c r="G40" s="24"/>
      <c r="H40" s="24"/>
      <c r="I40" s="24"/>
    </row>
    <row r="41" spans="1:9" ht="18" customHeight="1" x14ac:dyDescent="0.3">
      <c r="A41" s="13"/>
      <c r="B41" s="275" t="s">
        <v>838</v>
      </c>
      <c r="C41" s="276"/>
      <c r="D41" s="276"/>
      <c r="E41" s="276"/>
      <c r="F41" s="276"/>
      <c r="G41" s="276"/>
      <c r="H41" s="276"/>
      <c r="I41" s="276"/>
    </row>
    <row r="42" spans="1:9" ht="15.9" customHeight="1" x14ac:dyDescent="0.3">
      <c r="A42" s="13"/>
      <c r="B42" s="7"/>
      <c r="C42" s="258" t="str">
        <f>_xlfn.CONCAT(_xlfn.XLOOKUP("[ComplyMeasuresArt74][0][ComplyMeasuresArt74]",Submission!$O:$O,Submission!$H:$N,""))</f>
        <v/>
      </c>
      <c r="D42" s="369"/>
      <c r="E42" s="369"/>
      <c r="F42" s="369"/>
      <c r="G42" s="369"/>
      <c r="H42" s="369"/>
      <c r="I42" s="259"/>
    </row>
    <row r="43" spans="1:9" ht="15.9" customHeight="1" x14ac:dyDescent="0.3">
      <c r="A43" s="13"/>
      <c r="B43" s="7"/>
      <c r="C43" s="31"/>
      <c r="D43" s="31"/>
      <c r="E43" s="31"/>
      <c r="F43" s="31"/>
      <c r="G43" s="31"/>
      <c r="H43" s="31"/>
      <c r="I43" s="31"/>
    </row>
    <row r="44" spans="1:9" ht="15.9" customHeight="1" x14ac:dyDescent="0.25">
      <c r="A44" s="12" t="s">
        <v>176</v>
      </c>
      <c r="B44" s="392" t="s">
        <v>839</v>
      </c>
      <c r="C44" s="393"/>
      <c r="D44" s="393"/>
      <c r="E44" s="393"/>
      <c r="F44" s="393"/>
      <c r="G44" s="393"/>
      <c r="H44" s="393"/>
      <c r="I44" s="393"/>
    </row>
    <row r="45" spans="1:9" s="7" customFormat="1" ht="32.1" customHeight="1" x14ac:dyDescent="0.3">
      <c r="A45" s="30"/>
      <c r="B45" s="338" t="s">
        <v>840</v>
      </c>
      <c r="C45" s="308"/>
      <c r="D45" s="308"/>
      <c r="E45" s="308"/>
      <c r="F45" s="308"/>
      <c r="G45" s="308"/>
      <c r="H45" s="345"/>
      <c r="I45" s="47" t="str">
        <f>_xlfn.CONCAT(_xlfn.XLOOKUP("[AutomatedSystemInformationExchange][0][AutomatedSystemInformationExchange]",Submission!$O:$O,Submission!$H:$N,""))</f>
        <v>No</v>
      </c>
    </row>
    <row r="46" spans="1:9" s="7" customFormat="1" ht="16.95" customHeight="1" x14ac:dyDescent="0.3">
      <c r="A46" s="30"/>
      <c r="B46" s="275" t="s">
        <v>841</v>
      </c>
      <c r="C46" s="276"/>
      <c r="D46" s="276"/>
      <c r="E46" s="276"/>
      <c r="F46" s="276"/>
      <c r="G46" s="276"/>
      <c r="H46" s="276"/>
      <c r="I46" s="276"/>
    </row>
    <row r="47" spans="1:9" s="7" customFormat="1" ht="15" customHeight="1" x14ac:dyDescent="0.3">
      <c r="A47" s="8"/>
      <c r="C47" s="258" t="str">
        <f>_xlfn.CONCAT(_xlfn.XLOOKUP("[ComplyRequirementsArt75][0][ComplyRequirementsArt75]",Submission!$O:$O,Submission!$H:$N,""))</f>
        <v/>
      </c>
      <c r="D47" s="369"/>
      <c r="E47" s="369"/>
      <c r="F47" s="369"/>
      <c r="G47" s="369"/>
      <c r="H47" s="369"/>
      <c r="I47" s="259"/>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0" t="s">
        <v>74</v>
      </c>
      <c r="C50" s="310"/>
      <c r="D50" s="310"/>
      <c r="E50" s="310"/>
      <c r="F50" s="310"/>
      <c r="G50" s="310"/>
      <c r="H50" s="310"/>
      <c r="I50" s="311"/>
    </row>
    <row r="51" spans="1:9" ht="35.4" customHeight="1" x14ac:dyDescent="0.3">
      <c r="A51" s="12" t="s">
        <v>183</v>
      </c>
      <c r="B51" s="312" t="s">
        <v>843</v>
      </c>
      <c r="C51" s="313"/>
      <c r="D51" s="313"/>
      <c r="E51" s="313"/>
      <c r="F51" s="313"/>
      <c r="G51" s="313"/>
      <c r="H51" s="313"/>
      <c r="I51" s="313"/>
    </row>
    <row r="52" spans="1:9" ht="18.75" customHeight="1" x14ac:dyDescent="0.3">
      <c r="C52" s="314" t="s">
        <v>193</v>
      </c>
      <c r="D52" s="315"/>
      <c r="E52" s="316"/>
      <c r="F52" s="314" t="s">
        <v>844</v>
      </c>
      <c r="G52" s="316"/>
      <c r="H52" s="314" t="s">
        <v>845</v>
      </c>
      <c r="I52" s="316"/>
    </row>
    <row r="53" spans="1:9" ht="15.9" customHeight="1" x14ac:dyDescent="0.3">
      <c r="C53" s="251" t="s">
        <v>195</v>
      </c>
      <c r="D53" s="257"/>
      <c r="E53" s="250"/>
      <c r="F53" s="377" t="str">
        <f>_xlfn.CONCAT(_xlfn.XLOOKUP("[S05_InstallationFuelConsEmissions][1][FuelConsumption]",Submission!$O:$O,Submission!$H:$N,""))</f>
        <v>43910.1784877647</v>
      </c>
      <c r="G53" s="378"/>
      <c r="H53" s="375" t="str">
        <f>_xlfn.CONCAT(_xlfn.XLOOKUP("[S05_InstallationFuelConsEmissions][1][FuelAnnualEmissions]",Submission!$O:$O,Submission!$H:$N,""))</f>
        <v>4007620.26670866</v>
      </c>
      <c r="I53" s="376"/>
    </row>
    <row r="54" spans="1:9" ht="15.9" customHeight="1" x14ac:dyDescent="0.3">
      <c r="C54" s="251" t="s">
        <v>197</v>
      </c>
      <c r="D54" s="257"/>
      <c r="E54" s="250"/>
      <c r="F54" s="377" t="str">
        <f>_xlfn.CONCAT(_xlfn.XLOOKUP("[S05_InstallationFuelConsEmissions][2][FuelConsumption]",Submission!$O:$O,Submission!$H:$N,""))</f>
        <v>348699.959013455</v>
      </c>
      <c r="G54" s="378"/>
      <c r="H54" s="375" t="str">
        <f>_xlfn.CONCAT(_xlfn.XLOOKUP("[S05_InstallationFuelConsEmissions][2][FuelAnnualEmissions]",Submission!$O:$O,Submission!$H:$N,""))</f>
        <v>32594657.9425882</v>
      </c>
      <c r="I54" s="376"/>
    </row>
    <row r="55" spans="1:9" ht="15.9" customHeight="1" x14ac:dyDescent="0.3">
      <c r="C55" s="251" t="s">
        <v>199</v>
      </c>
      <c r="D55" s="257"/>
      <c r="E55" s="250"/>
      <c r="F55" s="377" t="str">
        <f>_xlfn.CONCAT(_xlfn.XLOOKUP("[S05_InstallationFuelConsEmissions][3][FuelConsumption]",Submission!$O:$O,Submission!$H:$N,""))</f>
        <v/>
      </c>
      <c r="G55" s="378"/>
      <c r="H55" s="375" t="str">
        <f>_xlfn.CONCAT(_xlfn.XLOOKUP("[S05_InstallationFuelConsEmissions][3][FuelAnnualEmissions]",Submission!$O:$O,Submission!$H:$N,""))</f>
        <v/>
      </c>
      <c r="I55" s="376"/>
    </row>
    <row r="56" spans="1:9" ht="15.9" customHeight="1" x14ac:dyDescent="0.3">
      <c r="C56" s="251" t="s">
        <v>201</v>
      </c>
      <c r="D56" s="257"/>
      <c r="E56" s="250"/>
      <c r="F56" s="377" t="str">
        <f>_xlfn.CONCAT(_xlfn.XLOOKUP("[S05_InstallationFuelConsEmissions][4][FuelConsumption]",Submission!$O:$O,Submission!$H:$N,""))</f>
        <v>10139.0873490629</v>
      </c>
      <c r="G56" s="378"/>
      <c r="H56" s="375" t="str">
        <f>_xlfn.CONCAT(_xlfn.XLOOKUP("[S05_InstallationFuelConsEmissions][4][FuelAnnualEmissions]",Submission!$O:$O,Submission!$H:$N,""))</f>
        <v>1059341.94802056</v>
      </c>
      <c r="I56" s="376"/>
    </row>
    <row r="57" spans="1:9" ht="15.9" customHeight="1" x14ac:dyDescent="0.3">
      <c r="C57" s="251" t="s">
        <v>846</v>
      </c>
      <c r="D57" s="257"/>
      <c r="E57" s="250"/>
      <c r="F57" s="377" t="str">
        <f>_xlfn.CONCAT(_xlfn.XLOOKUP("[S05_InstallationFuelConsEmissions][5][FuelConsumption]",Submission!$O:$O,Submission!$H:$N,""))</f>
        <v>99405.6212609359</v>
      </c>
      <c r="G57" s="378"/>
      <c r="H57" s="375" t="str">
        <f>_xlfn.CONCAT(_xlfn.XLOOKUP("[S05_InstallationFuelConsEmissions][5][FuelAnnualEmissions]",Submission!$O:$O,Submission!$H:$N,""))</f>
        <v>5506336.31068823</v>
      </c>
      <c r="I57" s="376"/>
    </row>
    <row r="58" spans="1:9" ht="15.9" customHeight="1" x14ac:dyDescent="0.3">
      <c r="C58" s="251" t="s">
        <v>847</v>
      </c>
      <c r="D58" s="257"/>
      <c r="E58" s="250"/>
      <c r="F58" s="377" t="str">
        <f>_xlfn.CONCAT(_xlfn.XLOOKUP("[S05_InstallationFuelConsEmissions][6][FuelConsumption]",Submission!$O:$O,Submission!$H:$N,""))</f>
        <v>18545.1499916304</v>
      </c>
      <c r="G58" s="378"/>
      <c r="H58" s="375" t="str">
        <f>_xlfn.CONCAT(_xlfn.XLOOKUP("[S05_InstallationFuelConsEmissions][6][FuelAnnualEmissions]",Submission!$O:$O,Submission!$H:$N,""))</f>
        <v>817303.833304685</v>
      </c>
      <c r="I58" s="376"/>
    </row>
    <row r="59" spans="1:9" ht="15.9" customHeight="1" x14ac:dyDescent="0.3">
      <c r="C59" s="251" t="s">
        <v>848</v>
      </c>
      <c r="D59" s="257"/>
      <c r="E59" s="250"/>
      <c r="F59" s="377" t="str">
        <f>_xlfn.CONCAT(_xlfn.XLOOKUP("[S05_InstallationFuelConsEmissions][7][FuelConsumption]",Submission!$O:$O,Submission!$H:$N,""))</f>
        <v>21332.5218363018</v>
      </c>
      <c r="G59" s="378"/>
      <c r="H59" s="375" t="str">
        <f>_xlfn.CONCAT(_xlfn.XLOOKUP("[S05_InstallationFuelConsEmissions][7][FuelAnnualEmissions]",Submission!$O:$O,Submission!$H:$N,""))</f>
        <v>5583824.65645106</v>
      </c>
      <c r="I59" s="376"/>
    </row>
    <row r="60" spans="1:9" ht="15.9" customHeight="1" x14ac:dyDescent="0.3">
      <c r="C60" s="251" t="s">
        <v>207</v>
      </c>
      <c r="D60" s="257"/>
      <c r="E60" s="250"/>
      <c r="F60" s="377" t="str">
        <f>_xlfn.CONCAT(_xlfn.XLOOKUP("[S05_InstallationFuelConsEmissions][8][FuelConsumption]",Submission!$O:$O,Submission!$H:$N,""))</f>
        <v>25232.5492537427</v>
      </c>
      <c r="G60" s="378"/>
      <c r="H60" s="375" t="str">
        <f>_xlfn.CONCAT(_xlfn.XLOOKUP("[S05_InstallationFuelConsEmissions][8][FuelAnnualEmissions]",Submission!$O:$O,Submission!$H:$N,""))</f>
        <v>1591234.23549159</v>
      </c>
      <c r="I60" s="376"/>
    </row>
    <row r="61" spans="1:9" ht="15.9" customHeight="1" x14ac:dyDescent="0.3">
      <c r="C61" s="251" t="s">
        <v>849</v>
      </c>
      <c r="D61" s="257"/>
      <c r="E61" s="250"/>
      <c r="F61" s="377" t="str">
        <f>_xlfn.CONCAT(_xlfn.XLOOKUP("[S05_InstallationFuelConsEmissions][9][FuelConsumption]",Submission!$O:$O,Submission!$H:$N,""))</f>
        <v>3251.0576923789</v>
      </c>
      <c r="G61" s="378"/>
      <c r="H61" s="375" t="str">
        <f>_xlfn.CONCAT(_xlfn.XLOOKUP("[S05_InstallationFuelConsEmissions][9][FuelAnnualEmissions]",Submission!$O:$O,Submission!$H:$N,""))</f>
        <v>267371.486676474</v>
      </c>
      <c r="I61" s="376"/>
    </row>
    <row r="62" spans="1:9" ht="15.9" customHeight="1" x14ac:dyDescent="0.3">
      <c r="C62" s="251" t="s">
        <v>211</v>
      </c>
      <c r="D62" s="257"/>
      <c r="E62" s="250"/>
      <c r="F62" s="377" t="str">
        <f>_xlfn.CONCAT(_xlfn.XLOOKUP("[S05_InstallationFuelConsEmissions][10][FuelConsumption]",Submission!$O:$O,Submission!$H:$N,""))</f>
        <v>102.2509376</v>
      </c>
      <c r="G62" s="378"/>
      <c r="H62" s="375" t="str">
        <f>_xlfn.CONCAT(_xlfn.XLOOKUP("[S05_InstallationFuelConsEmissions][10][FuelAnnualEmissions]",Submission!$O:$O,Submission!$H:$N,""))</f>
        <v>6467.87014189694</v>
      </c>
      <c r="I62" s="376"/>
    </row>
    <row r="63" spans="1:9" ht="15.9" customHeight="1" x14ac:dyDescent="0.3">
      <c r="C63" s="251" t="s">
        <v>212</v>
      </c>
      <c r="D63" s="257"/>
      <c r="E63" s="250"/>
      <c r="F63" s="377" t="str">
        <f>_xlfn.CONCAT(_xlfn.XLOOKUP("[S05_InstallationFuelConsEmissions][11][FuelConsumption]",Submission!$O:$O,Submission!$H:$N,""))</f>
        <v>3543.98412455861</v>
      </c>
      <c r="G63" s="378"/>
      <c r="H63" s="375" t="str">
        <f>_xlfn.CONCAT(_xlfn.XLOOKUP("[S05_InstallationFuelConsEmissions][11][FuelAnnualEmissions]",Submission!$O:$O,Submission!$H:$N,""))</f>
        <v>308321.853787451</v>
      </c>
      <c r="I63" s="376"/>
    </row>
    <row r="64" spans="1:9" ht="15.9" customHeight="1" x14ac:dyDescent="0.3">
      <c r="C64" s="251" t="s">
        <v>850</v>
      </c>
      <c r="D64" s="257"/>
      <c r="E64" s="250"/>
      <c r="F64" s="377" t="str">
        <f>_xlfn.CONCAT(_xlfn.XLOOKUP("[S05_InstallationFuelConsEmissions][12][FuelConsumption]",Submission!$O:$O,Submission!$H:$N,""))</f>
        <v>10266.9903085949</v>
      </c>
      <c r="G64" s="378"/>
      <c r="H64" s="375" t="str">
        <f>_xlfn.CONCAT(_xlfn.XLOOKUP("[S05_InstallationFuelConsEmissions][12][FuelAnnualEmissions]",Submission!$O:$O,Submission!$H:$N,""))</f>
        <v>889040.177446741</v>
      </c>
      <c r="I64" s="376"/>
    </row>
    <row r="65" spans="1:14" s="10" customFormat="1" ht="15" customHeight="1" x14ac:dyDescent="0.3">
      <c r="A65" s="9"/>
      <c r="C65" s="397" t="s">
        <v>851</v>
      </c>
      <c r="D65" s="398"/>
      <c r="E65" s="398"/>
      <c r="F65" s="398"/>
      <c r="G65" s="398"/>
      <c r="H65" s="398"/>
      <c r="I65" s="398"/>
      <c r="K65" s="13"/>
      <c r="L65" s="13"/>
      <c r="M65" s="13"/>
      <c r="N65" s="13"/>
    </row>
    <row r="66" spans="1:14" ht="15.9" customHeight="1" x14ac:dyDescent="0.3"/>
    <row r="67" spans="1:14" ht="34.200000000000003" customHeight="1" x14ac:dyDescent="0.3">
      <c r="A67" s="12" t="s">
        <v>215</v>
      </c>
      <c r="B67" s="264" t="s">
        <v>852</v>
      </c>
      <c r="C67" s="265"/>
      <c r="D67" s="265"/>
      <c r="E67" s="265"/>
      <c r="F67" s="265"/>
      <c r="G67" s="265"/>
      <c r="H67" s="265"/>
      <c r="I67" s="265"/>
    </row>
    <row r="68" spans="1:14" ht="28.8" x14ac:dyDescent="0.3">
      <c r="C68" s="314" t="s">
        <v>853</v>
      </c>
      <c r="D68" s="316"/>
      <c r="E68" s="314" t="s">
        <v>854</v>
      </c>
      <c r="F68" s="316"/>
      <c r="G68" s="42" t="s">
        <v>855</v>
      </c>
      <c r="H68" s="49" t="s">
        <v>856</v>
      </c>
      <c r="I68" s="50" t="s">
        <v>857</v>
      </c>
    </row>
    <row r="69" spans="1:14" ht="16.2" customHeight="1" x14ac:dyDescent="0.3">
      <c r="C69" s="365" t="str">
        <f>_xlfn.CONCAT(_xlfn.XLOOKUP("[S05_AggregateTotalEmissionsByCRF][1][CRFCategory1]",Submission!$O:$O,Submission!$H:$N,""))</f>
        <v>1A1 - Energy - Energy Industries</v>
      </c>
      <c r="D69" s="366"/>
      <c r="E69" s="365" t="str">
        <f>_xlfn.CONCAT(_xlfn.XLOOKUP("[S05_AggregateTotalEmissionsByCRF][1][CRFCategory2]",Submission!$O:$O,Submission!$H:$N,""))</f>
        <v/>
      </c>
      <c r="F69" s="366"/>
      <c r="G69" s="126" t="str">
        <f>_xlfn.CONCAT(_xlfn.XLOOKUP("[S05_AggregateTotalEmissionsByCRF][1][TotalEmissionsTCo2e]",Submission!$O:$O,Submission!$H:$N,""))</f>
        <v>30528202.0648939</v>
      </c>
      <c r="H69" s="126" t="str">
        <f>_xlfn.CONCAT(_xlfn.XLOOKUP("[S05_AggregateTotalEmissionsByCRF][1][TotalCombustionEmissionsTCo2e]",Submission!$O:$O,Submission!$H:$N,""))</f>
        <v>30137363.3775838</v>
      </c>
      <c r="I69" s="126" t="str">
        <f>_xlfn.CONCAT(_xlfn.XLOOKUP("[S05_AggregateTotalEmissionsByCRF][1][TotalProcessEmissionsTCo2e]",Submission!$O:$O,Submission!$H:$N,""))</f>
        <v>390838.687310051</v>
      </c>
    </row>
    <row r="70" spans="1:14" ht="16.2" customHeight="1" x14ac:dyDescent="0.3">
      <c r="C70" s="365" t="str">
        <f>_xlfn.CONCAT(_xlfn.XLOOKUP("[S05_AggregateTotalEmissionsByCRF][2][CRFCategory1]",Submission!$O:$O,Submission!$H:$N,""))</f>
        <v>1A1 - Energy - Energy Industries</v>
      </c>
      <c r="D70" s="366"/>
      <c r="E70" s="367" t="str">
        <f>_xlfn.CONCAT(_xlfn.XLOOKUP("[S05_AggregateTotalEmissionsByCRF][2][CRFCategory2]",Submission!$O:$O,Submission!$H:$N,""))</f>
        <v>2A4 - Process - Other Process Uses of Carbonates</v>
      </c>
      <c r="F70" s="368"/>
      <c r="G70" s="126" t="str">
        <f>_xlfn.CONCAT(_xlfn.XLOOKUP("[S05_AggregateTotalEmissionsByCRF][2][TotalEmissionsTCo2e]",Submission!$O:$O,Submission!$H:$N,""))</f>
        <v>6918711.07133422</v>
      </c>
      <c r="H70" s="126" t="str">
        <f>_xlfn.CONCAT(_xlfn.XLOOKUP("[S05_AggregateTotalEmissionsByCRF][2][TotalCombustionEmissionsTCo2e]",Submission!$O:$O,Submission!$H:$N,""))</f>
        <v>6839140.48437303</v>
      </c>
      <c r="I70" s="126" t="str">
        <f>_xlfn.CONCAT(_xlfn.XLOOKUP("[S05_AggregateTotalEmissionsByCRF][2][TotalProcessEmissionsTCo2e]",Submission!$O:$O,Submission!$H:$N,""))</f>
        <v>79570.5869611838</v>
      </c>
    </row>
    <row r="71" spans="1:14" ht="16.2" customHeight="1" x14ac:dyDescent="0.3">
      <c r="C71" s="365" t="str">
        <f>_xlfn.CONCAT(_xlfn.XLOOKUP("[S05_AggregateTotalEmissionsByCRF][3][CRFCategory1]",Submission!$O:$O,Submission!$H:$N,""))</f>
        <v>1A1 - Energy - Energy Industries</v>
      </c>
      <c r="D71" s="366"/>
      <c r="E71" s="367" t="str">
        <f>_xlfn.CONCAT(_xlfn.XLOOKUP("[S05_AggregateTotalEmissionsByCRF][3][CRFCategory2]",Submission!$O:$O,Submission!$H:$N,""))</f>
        <v>2B10 - Process - Other Chemical Industry</v>
      </c>
      <c r="F71" s="368"/>
      <c r="G71" s="126" t="str">
        <f>_xlfn.CONCAT(_xlfn.XLOOKUP("[S05_AggregateTotalEmissionsByCRF][3][TotalEmissionsTCo2e]",Submission!$O:$O,Submission!$H:$N,""))</f>
        <v>848958.169629385</v>
      </c>
      <c r="H71" s="126" t="str">
        <f>_xlfn.CONCAT(_xlfn.XLOOKUP("[S05_AggregateTotalEmissionsByCRF][3][TotalCombustionEmissionsTCo2e]",Submission!$O:$O,Submission!$H:$N,""))</f>
        <v>769212.201277571</v>
      </c>
      <c r="I71" s="126" t="str">
        <f>_xlfn.CONCAT(_xlfn.XLOOKUP("[S05_AggregateTotalEmissionsByCRF][3][TotalProcessEmissionsTCo2e]",Submission!$O:$O,Submission!$H:$N,""))</f>
        <v>79745.9683518142</v>
      </c>
    </row>
    <row r="72" spans="1:14" ht="16.2" customHeight="1" x14ac:dyDescent="0.3">
      <c r="C72" s="365" t="str">
        <f>_xlfn.CONCAT(_xlfn.XLOOKUP("[S05_AggregateTotalEmissionsByCRF][4][CRFCategory1]",Submission!$O:$O,Submission!$H:$N,""))</f>
        <v>1A1 - Energy - Energy Industries</v>
      </c>
      <c r="D72" s="366"/>
      <c r="E72" s="367" t="str">
        <f>_xlfn.CONCAT(_xlfn.XLOOKUP("[S05_AggregateTotalEmissionsByCRF][4][CRFCategory2]",Submission!$O:$O,Submission!$H:$N,""))</f>
        <v>2C1 - Process - Iron and Steel Production</v>
      </c>
      <c r="F72" s="368"/>
      <c r="G72" s="126" t="str">
        <f>_xlfn.CONCAT(_xlfn.XLOOKUP("[S05_AggregateTotalEmissionsByCRF][4][TotalEmissionsTCo2e]",Submission!$O:$O,Submission!$H:$N,""))</f>
        <v>80116.4228401549</v>
      </c>
      <c r="H72" s="126" t="str">
        <f>_xlfn.CONCAT(_xlfn.XLOOKUP("[S05_AggregateTotalEmissionsByCRF][4][TotalCombustionEmissionsTCo2e]",Submission!$O:$O,Submission!$H:$N,""))</f>
        <v>76079.1168016549</v>
      </c>
      <c r="I72" s="126" t="str">
        <f>_xlfn.CONCAT(_xlfn.XLOOKUP("[S05_AggregateTotalEmissionsByCRF][4][TotalProcessEmissionsTCo2e]",Submission!$O:$O,Submission!$H:$N,""))</f>
        <v>4037.3060385</v>
      </c>
    </row>
    <row r="73" spans="1:14" ht="16.2" customHeight="1" x14ac:dyDescent="0.3">
      <c r="C73" s="365" t="str">
        <f>_xlfn.CONCAT(_xlfn.XLOOKUP("[S05_AggregateTotalEmissionsByCRF][5][CRFCategory1]",Submission!$O:$O,Submission!$H:$N,""))</f>
        <v>1A1 - Energy - Energy Industries</v>
      </c>
      <c r="D73" s="366"/>
      <c r="E73" s="367" t="str">
        <f>_xlfn.CONCAT(_xlfn.XLOOKUP("[S05_AggregateTotalEmissionsByCRF][5][CRFCategory2]",Submission!$O:$O,Submission!$H:$N,""))</f>
        <v>2E4 - Process - Heat Transfer Fluid</v>
      </c>
      <c r="F73" s="368"/>
      <c r="G73" s="126" t="str">
        <f>_xlfn.CONCAT(_xlfn.XLOOKUP("[S05_AggregateTotalEmissionsByCRF][5][TotalEmissionsTCo2e]",Submission!$O:$O,Submission!$H:$N,""))</f>
        <v>0</v>
      </c>
      <c r="H73" s="126" t="str">
        <f>_xlfn.CONCAT(_xlfn.XLOOKUP("[S05_AggregateTotalEmissionsByCRF][5][TotalCombustionEmissionsTCo2e]",Submission!$O:$O,Submission!$H:$N,""))</f>
        <v>0</v>
      </c>
      <c r="I73" s="126" t="str">
        <f>_xlfn.CONCAT(_xlfn.XLOOKUP("[S05_AggregateTotalEmissionsByCRF][5][TotalProcessEmissionsTCo2e]",Submission!$O:$O,Submission!$H:$N,""))</f>
        <v>0</v>
      </c>
    </row>
    <row r="74" spans="1:14" ht="16.2" customHeight="1" x14ac:dyDescent="0.3">
      <c r="C74" s="365" t="str">
        <f>_xlfn.CONCAT(_xlfn.XLOOKUP("[S05_AggregateTotalEmissionsByCRF][6][CRFCategory1]",Submission!$O:$O,Submission!$H:$N,""))</f>
        <v>1A1 - Energy - Energy Industries</v>
      </c>
      <c r="D74" s="366"/>
      <c r="E74" s="367" t="str">
        <f>_xlfn.CONCAT(_xlfn.XLOOKUP("[S05_AggregateTotalEmissionsByCRF][6][CRFCategory2]",Submission!$O:$O,Submission!$H:$N,""))</f>
        <v>2H - Process - Other Industrial Process and Product Use</v>
      </c>
      <c r="F74" s="368"/>
      <c r="G74" s="126" t="str">
        <f>_xlfn.CONCAT(_xlfn.XLOOKUP("[S05_AggregateTotalEmissionsByCRF][6][TotalEmissionsTCo2e]",Submission!$O:$O,Submission!$H:$N,""))</f>
        <v>456.22690160595</v>
      </c>
      <c r="H74" s="126" t="str">
        <f>_xlfn.CONCAT(_xlfn.XLOOKUP("[S05_AggregateTotalEmissionsByCRF][6][TotalCombustionEmissionsTCo2e]",Submission!$O:$O,Submission!$H:$N,""))</f>
        <v>456.22690160595</v>
      </c>
      <c r="I74" s="126" t="str">
        <f>_xlfn.CONCAT(_xlfn.XLOOKUP("[S05_AggregateTotalEmissionsByCRF][6][TotalProcessEmissionsTCo2e]",Submission!$O:$O,Submission!$H:$N,""))</f>
        <v>0</v>
      </c>
    </row>
    <row r="75" spans="1:14" ht="16.2" customHeight="1" x14ac:dyDescent="0.3">
      <c r="C75" s="365" t="str">
        <f>_xlfn.CONCAT(_xlfn.XLOOKUP("[S05_AggregateTotalEmissionsByCRF][7][CRFCategory1]",Submission!$O:$O,Submission!$H:$N,""))</f>
        <v>1A1b - Energy - Petroleum Refining</v>
      </c>
      <c r="D75" s="366"/>
      <c r="E75" s="367" t="str">
        <f>_xlfn.CONCAT(_xlfn.XLOOKUP("[S05_AggregateTotalEmissionsByCRF][7][CRFCategory2]",Submission!$O:$O,Submission!$H:$N,""))</f>
        <v/>
      </c>
      <c r="F75" s="368"/>
      <c r="G75" s="126" t="str">
        <f>_xlfn.CONCAT(_xlfn.XLOOKUP("[S05_AggregateTotalEmissionsByCRF][7][TotalEmissionsTCo2e]",Submission!$O:$O,Submission!$H:$N,""))</f>
        <v>957662.33025258</v>
      </c>
      <c r="H75" s="126" t="str">
        <f>_xlfn.CONCAT(_xlfn.XLOOKUP("[S05_AggregateTotalEmissionsByCRF][7][TotalCombustionEmissionsTCo2e]",Submission!$O:$O,Submission!$H:$N,""))</f>
        <v>957662.33025258</v>
      </c>
      <c r="I75" s="126" t="str">
        <f>_xlfn.CONCAT(_xlfn.XLOOKUP("[S05_AggregateTotalEmissionsByCRF][7][TotalProcessEmissionsTCo2e]",Submission!$O:$O,Submission!$H:$N,""))</f>
        <v>0</v>
      </c>
    </row>
    <row r="76" spans="1:14" ht="16.2" customHeight="1" x14ac:dyDescent="0.3">
      <c r="C76" s="365" t="str">
        <f>_xlfn.CONCAT(_xlfn.XLOOKUP("[S05_AggregateTotalEmissionsByCRF][8][CRFCategory1]",Submission!$O:$O,Submission!$H:$N,""))</f>
        <v>1A1c - Energy - Manufacture of Solid Fuels and Other Energy Industries</v>
      </c>
      <c r="D76" s="366"/>
      <c r="E76" s="367" t="str">
        <f>_xlfn.CONCAT(_xlfn.XLOOKUP("[S05_AggregateTotalEmissionsByCRF][8][CRFCategory2]",Submission!$O:$O,Submission!$H:$N,""))</f>
        <v/>
      </c>
      <c r="F76" s="368"/>
      <c r="G76" s="126" t="str">
        <f>_xlfn.CONCAT(_xlfn.XLOOKUP("[S05_AggregateTotalEmissionsByCRF][8][TotalEmissionsTCo2e]",Submission!$O:$O,Submission!$H:$N,""))</f>
        <v>2165978.37547394</v>
      </c>
      <c r="H76" s="126" t="str">
        <f>_xlfn.CONCAT(_xlfn.XLOOKUP("[S05_AggregateTotalEmissionsByCRF][8][TotalCombustionEmissionsTCo2e]",Submission!$O:$O,Submission!$H:$N,""))</f>
        <v>2163783.72592551</v>
      </c>
      <c r="I76" s="126" t="str">
        <f>_xlfn.CONCAT(_xlfn.XLOOKUP("[S05_AggregateTotalEmissionsByCRF][8][TotalProcessEmissionsTCo2e]",Submission!$O:$O,Submission!$H:$N,""))</f>
        <v>2194.64954842558</v>
      </c>
    </row>
    <row r="77" spans="1:14" ht="16.2" customHeight="1" x14ac:dyDescent="0.3">
      <c r="C77" s="365" t="str">
        <f>_xlfn.CONCAT(_xlfn.XLOOKUP("[S05_AggregateTotalEmissionsByCRF][9][CRFCategory1]",Submission!$O:$O,Submission!$H:$N,""))</f>
        <v>1A2a - Energy - Iron and Steel</v>
      </c>
      <c r="D77" s="366"/>
      <c r="E77" s="367" t="str">
        <f>_xlfn.CONCAT(_xlfn.XLOOKUP("[S05_AggregateTotalEmissionsByCRF][9][CRFCategory2]",Submission!$O:$O,Submission!$H:$N,""))</f>
        <v/>
      </c>
      <c r="F77" s="368"/>
      <c r="G77" s="126" t="str">
        <f>_xlfn.CONCAT(_xlfn.XLOOKUP("[S05_AggregateTotalEmissionsByCRF][9][TotalEmissionsTCo2e]",Submission!$O:$O,Submission!$H:$N,""))</f>
        <v>189225.612585501</v>
      </c>
      <c r="H77" s="126" t="str">
        <f>_xlfn.CONCAT(_xlfn.XLOOKUP("[S05_AggregateTotalEmissionsByCRF][9][TotalCombustionEmissionsTCo2e]",Submission!$O:$O,Submission!$H:$N,""))</f>
        <v>189225.612585501</v>
      </c>
      <c r="I77" s="126" t="str">
        <f>_xlfn.CONCAT(_xlfn.XLOOKUP("[S05_AggregateTotalEmissionsByCRF][9][TotalProcessEmissionsTCo2e]",Submission!$O:$O,Submission!$H:$N,""))</f>
        <v>0</v>
      </c>
    </row>
    <row r="78" spans="1:14" ht="16.2" customHeight="1" x14ac:dyDescent="0.3">
      <c r="C78" s="365" t="str">
        <f>_xlfn.CONCAT(_xlfn.XLOOKUP("[S05_AggregateTotalEmissionsByCRF][10][CRFCategory1]",Submission!$O:$O,Submission!$H:$N,""))</f>
        <v>1A2a - Energy - Iron and Steel</v>
      </c>
      <c r="D78" s="366"/>
      <c r="E78" s="367" t="str">
        <f>_xlfn.CONCAT(_xlfn.XLOOKUP("[S05_AggregateTotalEmissionsByCRF][10][CRFCategory2]",Submission!$O:$O,Submission!$H:$N,""))</f>
        <v>2C1 - Process - Iron and Steel Production</v>
      </c>
      <c r="F78" s="368"/>
      <c r="G78" s="126" t="str">
        <f>_xlfn.CONCAT(_xlfn.XLOOKUP("[S05_AggregateTotalEmissionsByCRF][10][TotalEmissionsTCo2e]",Submission!$O:$O,Submission!$H:$N,""))</f>
        <v>3104209.51270044</v>
      </c>
      <c r="H78" s="126" t="str">
        <f>_xlfn.CONCAT(_xlfn.XLOOKUP("[S05_AggregateTotalEmissionsByCRF][10][TotalCombustionEmissionsTCo2e]",Submission!$O:$O,Submission!$H:$N,""))</f>
        <v>2562898.69351188</v>
      </c>
      <c r="I78" s="126" t="str">
        <f>_xlfn.CONCAT(_xlfn.XLOOKUP("[S05_AggregateTotalEmissionsByCRF][10][TotalProcessEmissionsTCo2e]",Submission!$O:$O,Submission!$H:$N,""))</f>
        <v>541310.819188559</v>
      </c>
    </row>
    <row r="79" spans="1:14" ht="16.2" customHeight="1" x14ac:dyDescent="0.3">
      <c r="C79" s="365" t="str">
        <f>_xlfn.CONCAT(_xlfn.XLOOKUP("[S05_AggregateTotalEmissionsByCRF][11][CRFCategory1]",Submission!$O:$O,Submission!$H:$N,""))</f>
        <v>1A2b - Energy - Non-Ferrous Metals</v>
      </c>
      <c r="D79" s="366"/>
      <c r="E79" s="367" t="str">
        <f>_xlfn.CONCAT(_xlfn.XLOOKUP("[S05_AggregateTotalEmissionsByCRF][11][CRFCategory2]",Submission!$O:$O,Submission!$H:$N,""))</f>
        <v/>
      </c>
      <c r="F79" s="368"/>
      <c r="G79" s="126" t="str">
        <f>_xlfn.CONCAT(_xlfn.XLOOKUP("[S05_AggregateTotalEmissionsByCRF][11][TotalEmissionsTCo2e]",Submission!$O:$O,Submission!$H:$N,""))</f>
        <v>25174.7935687675</v>
      </c>
      <c r="H79" s="126" t="str">
        <f>_xlfn.CONCAT(_xlfn.XLOOKUP("[S05_AggregateTotalEmissionsByCRF][11][TotalCombustionEmissionsTCo2e]",Submission!$O:$O,Submission!$H:$N,""))</f>
        <v>25174.7935687675</v>
      </c>
      <c r="I79" s="126" t="str">
        <f>_xlfn.CONCAT(_xlfn.XLOOKUP("[S05_AggregateTotalEmissionsByCRF][11][TotalProcessEmissionsTCo2e]",Submission!$O:$O,Submission!$H:$N,""))</f>
        <v>0</v>
      </c>
    </row>
    <row r="80" spans="1:14" ht="16.2" customHeight="1" x14ac:dyDescent="0.3">
      <c r="C80" s="365" t="str">
        <f>_xlfn.CONCAT(_xlfn.XLOOKUP("[S05_AggregateTotalEmissionsByCRF][12][CRFCategory1]",Submission!$O:$O,Submission!$H:$N,""))</f>
        <v>1A2b - Energy - Non-Ferrous Metals</v>
      </c>
      <c r="D80" s="366"/>
      <c r="E80" s="367" t="str">
        <f>_xlfn.CONCAT(_xlfn.XLOOKUP("[S05_AggregateTotalEmissionsByCRF][12][CRFCategory2]",Submission!$O:$O,Submission!$H:$N,""))</f>
        <v>2C3 - Process - Aluminium Production</v>
      </c>
      <c r="F80" s="368"/>
      <c r="G80" s="126" t="str">
        <f>_xlfn.CONCAT(_xlfn.XLOOKUP("[S05_AggregateTotalEmissionsByCRF][12][TotalEmissionsTCo2e]",Submission!$O:$O,Submission!$H:$N,""))</f>
        <v>24130.7484207265</v>
      </c>
      <c r="H80" s="126" t="str">
        <f>_xlfn.CONCAT(_xlfn.XLOOKUP("[S05_AggregateTotalEmissionsByCRF][12][TotalCombustionEmissionsTCo2e]",Submission!$O:$O,Submission!$H:$N,""))</f>
        <v>24130.7484207265</v>
      </c>
      <c r="I80" s="126" t="str">
        <f>_xlfn.CONCAT(_xlfn.XLOOKUP("[S05_AggregateTotalEmissionsByCRF][12][TotalProcessEmissionsTCo2e]",Submission!$O:$O,Submission!$H:$N,""))</f>
        <v>0</v>
      </c>
    </row>
    <row r="81" spans="3:9" ht="16.2" customHeight="1" x14ac:dyDescent="0.3">
      <c r="C81" s="365" t="str">
        <f>_xlfn.CONCAT(_xlfn.XLOOKUP("[S05_AggregateTotalEmissionsByCRF][13][CRFCategory1]",Submission!$O:$O,Submission!$H:$N,""))</f>
        <v>1A2c - Energy - Chemicals</v>
      </c>
      <c r="D81" s="366"/>
      <c r="E81" s="367" t="str">
        <f>_xlfn.CONCAT(_xlfn.XLOOKUP("[S05_AggregateTotalEmissionsByCRF][13][CRFCategory2]",Submission!$O:$O,Submission!$H:$N,""))</f>
        <v/>
      </c>
      <c r="F81" s="368"/>
      <c r="G81" s="126" t="str">
        <f>_xlfn.CONCAT(_xlfn.XLOOKUP("[S05_AggregateTotalEmissionsByCRF][13][TotalEmissionsTCo2e]",Submission!$O:$O,Submission!$H:$N,""))</f>
        <v>47912.89240962</v>
      </c>
      <c r="H81" s="126" t="str">
        <f>_xlfn.CONCAT(_xlfn.XLOOKUP("[S05_AggregateTotalEmissionsByCRF][13][TotalCombustionEmissionsTCo2e]",Submission!$O:$O,Submission!$H:$N,""))</f>
        <v>47912.89240962</v>
      </c>
      <c r="I81" s="126" t="str">
        <f>_xlfn.CONCAT(_xlfn.XLOOKUP("[S05_AggregateTotalEmissionsByCRF][13][TotalProcessEmissionsTCo2e]",Submission!$O:$O,Submission!$H:$N,""))</f>
        <v>0</v>
      </c>
    </row>
    <row r="82" spans="3:9" ht="16.2" customHeight="1" x14ac:dyDescent="0.3">
      <c r="C82" s="365" t="str">
        <f>_xlfn.CONCAT(_xlfn.XLOOKUP("[S05_AggregateTotalEmissionsByCRF][14][CRFCategory1]",Submission!$O:$O,Submission!$H:$N,""))</f>
        <v>1A2c - Energy - Chemicals</v>
      </c>
      <c r="D82" s="366"/>
      <c r="E82" s="367" t="str">
        <f>_xlfn.CONCAT(_xlfn.XLOOKUP("[S05_AggregateTotalEmissionsByCRF][14][CRFCategory2]",Submission!$O:$O,Submission!$H:$N,""))</f>
        <v>2B10 - Process - Other Chemical Industry</v>
      </c>
      <c r="F82" s="368"/>
      <c r="G82" s="126" t="str">
        <f>_xlfn.CONCAT(_xlfn.XLOOKUP("[S05_AggregateTotalEmissionsByCRF][14][TotalEmissionsTCo2e]",Submission!$O:$O,Submission!$H:$N,""))</f>
        <v>838445.381038017</v>
      </c>
      <c r="H82" s="126" t="str">
        <f>_xlfn.CONCAT(_xlfn.XLOOKUP("[S05_AggregateTotalEmissionsByCRF][14][TotalCombustionEmissionsTCo2e]",Submission!$O:$O,Submission!$H:$N,""))</f>
        <v>11366.2514558187</v>
      </c>
      <c r="I82" s="126" t="str">
        <f>_xlfn.CONCAT(_xlfn.XLOOKUP("[S05_AggregateTotalEmissionsByCRF][14][TotalProcessEmissionsTCo2e]",Submission!$O:$O,Submission!$H:$N,""))</f>
        <v>827079.129582198</v>
      </c>
    </row>
    <row r="83" spans="3:9" ht="16.2" customHeight="1" x14ac:dyDescent="0.3">
      <c r="C83" s="365" t="str">
        <f>_xlfn.CONCAT(_xlfn.XLOOKUP("[S05_AggregateTotalEmissionsByCRF][15][CRFCategory1]",Submission!$O:$O,Submission!$H:$N,""))</f>
        <v>1A2c - Energy - Chemicals</v>
      </c>
      <c r="D83" s="366"/>
      <c r="E83" s="367" t="str">
        <f>_xlfn.CONCAT(_xlfn.XLOOKUP("[S05_AggregateTotalEmissionsByCRF][15][CRFCategory2]",Submission!$O:$O,Submission!$H:$N,""))</f>
        <v xml:space="preserve">2B2 - Process - Nitric Acid Production </v>
      </c>
      <c r="F83" s="368"/>
      <c r="G83" s="126" t="str">
        <f>_xlfn.CONCAT(_xlfn.XLOOKUP("[S05_AggregateTotalEmissionsByCRF][15][TotalEmissionsTCo2e]",Submission!$O:$O,Submission!$H:$N,""))</f>
        <v>704957.451510928</v>
      </c>
      <c r="H83" s="126" t="str">
        <f>_xlfn.CONCAT(_xlfn.XLOOKUP("[S05_AggregateTotalEmissionsByCRF][15][TotalCombustionEmissionsTCo2e]",Submission!$O:$O,Submission!$H:$N,""))</f>
        <v>556337.832374937</v>
      </c>
      <c r="I83" s="126" t="str">
        <f>_xlfn.CONCAT(_xlfn.XLOOKUP("[S05_AggregateTotalEmissionsByCRF][15][TotalProcessEmissionsTCo2e]",Submission!$O:$O,Submission!$H:$N,""))</f>
        <v>148619.619135991</v>
      </c>
    </row>
    <row r="84" spans="3:9" ht="16.2" customHeight="1" x14ac:dyDescent="0.3">
      <c r="C84" s="365" t="str">
        <f>_xlfn.CONCAT(_xlfn.XLOOKUP("[S05_AggregateTotalEmissionsByCRF][16][CRFCategory1]",Submission!$O:$O,Submission!$H:$N,""))</f>
        <v>1A2c - Energy - Chemicals</v>
      </c>
      <c r="D84" s="366"/>
      <c r="E84" s="367" t="str">
        <f>_xlfn.CONCAT(_xlfn.XLOOKUP("[S05_AggregateTotalEmissionsByCRF][16][CRFCategory2]",Submission!$O:$O,Submission!$H:$N,""))</f>
        <v>2B6 - Process - Titanium Dioxide Production</v>
      </c>
      <c r="F84" s="368"/>
      <c r="G84" s="126" t="str">
        <f>_xlfn.CONCAT(_xlfn.XLOOKUP("[S05_AggregateTotalEmissionsByCRF][16][TotalEmissionsTCo2e]",Submission!$O:$O,Submission!$H:$N,""))</f>
        <v>94853.992469707</v>
      </c>
      <c r="H84" s="126" t="str">
        <f>_xlfn.CONCAT(_xlfn.XLOOKUP("[S05_AggregateTotalEmissionsByCRF][16][TotalCombustionEmissionsTCo2e]",Submission!$O:$O,Submission!$H:$N,""))</f>
        <v>41757.201345503</v>
      </c>
      <c r="I84" s="126" t="str">
        <f>_xlfn.CONCAT(_xlfn.XLOOKUP("[S05_AggregateTotalEmissionsByCRF][16][TotalProcessEmissionsTCo2e]",Submission!$O:$O,Submission!$H:$N,""))</f>
        <v>53096.791124204</v>
      </c>
    </row>
    <row r="85" spans="3:9" ht="16.2" customHeight="1" x14ac:dyDescent="0.3">
      <c r="C85" s="365" t="str">
        <f>_xlfn.CONCAT(_xlfn.XLOOKUP("[S05_AggregateTotalEmissionsByCRF][17][CRFCategory1]",Submission!$O:$O,Submission!$H:$N,""))</f>
        <v>1A2c - Energy - Chemicals</v>
      </c>
      <c r="D85" s="366"/>
      <c r="E85" s="367" t="str">
        <f>_xlfn.CONCAT(_xlfn.XLOOKUP("[S05_AggregateTotalEmissionsByCRF][17][CRFCategory2]",Submission!$O:$O,Submission!$H:$N,""))</f>
        <v>2B8 - Process - Petrochemical and Carbon Black Production</v>
      </c>
      <c r="F85" s="368"/>
      <c r="G85" s="126" t="str">
        <f>_xlfn.CONCAT(_xlfn.XLOOKUP("[S05_AggregateTotalEmissionsByCRF][17][TotalEmissionsTCo2e]",Submission!$O:$O,Submission!$H:$N,""))</f>
        <v>2641044.76036361</v>
      </c>
      <c r="H85" s="126" t="str">
        <f>_xlfn.CONCAT(_xlfn.XLOOKUP("[S05_AggregateTotalEmissionsByCRF][17][TotalCombustionEmissionsTCo2e]",Submission!$O:$O,Submission!$H:$N,""))</f>
        <v>2640918.22940394</v>
      </c>
      <c r="I85" s="126" t="str">
        <f>_xlfn.CONCAT(_xlfn.XLOOKUP("[S05_AggregateTotalEmissionsByCRF][17][TotalProcessEmissionsTCo2e]",Submission!$O:$O,Submission!$H:$N,""))</f>
        <v>126.530959667089</v>
      </c>
    </row>
    <row r="86" spans="3:9" ht="16.2" customHeight="1" x14ac:dyDescent="0.3">
      <c r="C86" s="365" t="str">
        <f>_xlfn.CONCAT(_xlfn.XLOOKUP("[S05_AggregateTotalEmissionsByCRF][18][CRFCategory1]",Submission!$O:$O,Submission!$H:$N,""))</f>
        <v>1A2d - Energy - Pulp, Paper and Print</v>
      </c>
      <c r="D86" s="366"/>
      <c r="E86" s="367" t="str">
        <f>_xlfn.CONCAT(_xlfn.XLOOKUP("[S05_AggregateTotalEmissionsByCRF][18][CRFCategory2]",Submission!$O:$O,Submission!$H:$N,""))</f>
        <v/>
      </c>
      <c r="F86" s="368"/>
      <c r="G86" s="126" t="str">
        <f>_xlfn.CONCAT(_xlfn.XLOOKUP("[S05_AggregateTotalEmissionsByCRF][18][TotalEmissionsTCo2e]",Submission!$O:$O,Submission!$H:$N,""))</f>
        <v>87250.5916086416</v>
      </c>
      <c r="H86" s="126" t="str">
        <f>_xlfn.CONCAT(_xlfn.XLOOKUP("[S05_AggregateTotalEmissionsByCRF][18][TotalCombustionEmissionsTCo2e]",Submission!$O:$O,Submission!$H:$N,""))</f>
        <v>87250.5916086416</v>
      </c>
      <c r="I86" s="126" t="str">
        <f>_xlfn.CONCAT(_xlfn.XLOOKUP("[S05_AggregateTotalEmissionsByCRF][18][TotalProcessEmissionsTCo2e]",Submission!$O:$O,Submission!$H:$N,""))</f>
        <v>0</v>
      </c>
    </row>
    <row r="87" spans="3:9" ht="16.2" customHeight="1" x14ac:dyDescent="0.3">
      <c r="C87" s="365" t="str">
        <f>_xlfn.CONCAT(_xlfn.XLOOKUP("[S05_AggregateTotalEmissionsByCRF][19][CRFCategory1]",Submission!$O:$O,Submission!$H:$N,""))</f>
        <v>1A2d - Energy - Pulp, Paper and Print</v>
      </c>
      <c r="D87" s="366"/>
      <c r="E87" s="367" t="str">
        <f>_xlfn.CONCAT(_xlfn.XLOOKUP("[S05_AggregateTotalEmissionsByCRF][19][CRFCategory2]",Submission!$O:$O,Submission!$H:$N,""))</f>
        <v>2H - Process - Other Industrial Process and Product Use</v>
      </c>
      <c r="F87" s="368"/>
      <c r="G87" s="126" t="str">
        <f>_xlfn.CONCAT(_xlfn.XLOOKUP("[S05_AggregateTotalEmissionsByCRF][19][TotalEmissionsTCo2e]",Submission!$O:$O,Submission!$H:$N,""))</f>
        <v>437080.064732924</v>
      </c>
      <c r="H87" s="126" t="str">
        <f>_xlfn.CONCAT(_xlfn.XLOOKUP("[S05_AggregateTotalEmissionsByCRF][19][TotalCombustionEmissionsTCo2e]",Submission!$O:$O,Submission!$H:$N,""))</f>
        <v>437720.752070059</v>
      </c>
      <c r="I87" s="126" t="str">
        <f>_xlfn.CONCAT(_xlfn.XLOOKUP("[S05_AggregateTotalEmissionsByCRF][19][TotalProcessEmissionsTCo2e]",Submission!$O:$O,Submission!$H:$N,""))</f>
        <v>-640.687337135385</v>
      </c>
    </row>
    <row r="88" spans="3:9" ht="16.2" customHeight="1" x14ac:dyDescent="0.3">
      <c r="C88" s="365" t="str">
        <f>_xlfn.CONCAT(_xlfn.XLOOKUP("[S05_AggregateTotalEmissionsByCRF][20][CRFCategory1]",Submission!$O:$O,Submission!$H:$N,""))</f>
        <v>1A2e - Energy - Food Processing, Beverages and Tobacco</v>
      </c>
      <c r="D88" s="366"/>
      <c r="E88" s="367" t="str">
        <f>_xlfn.CONCAT(_xlfn.XLOOKUP("[S05_AggregateTotalEmissionsByCRF][20][CRFCategory2]",Submission!$O:$O,Submission!$H:$N,""))</f>
        <v/>
      </c>
      <c r="F88" s="368"/>
      <c r="G88" s="126" t="str">
        <f>_xlfn.CONCAT(_xlfn.XLOOKUP("[S05_AggregateTotalEmissionsByCRF][20][TotalEmissionsTCo2e]",Submission!$O:$O,Submission!$H:$N,""))</f>
        <v>168887.143145066</v>
      </c>
      <c r="H88" s="126" t="str">
        <f>_xlfn.CONCAT(_xlfn.XLOOKUP("[S05_AggregateTotalEmissionsByCRF][20][TotalCombustionEmissionsTCo2e]",Submission!$O:$O,Submission!$H:$N,""))</f>
        <v>168887.143145066</v>
      </c>
      <c r="I88" s="126" t="str">
        <f>_xlfn.CONCAT(_xlfn.XLOOKUP("[S05_AggregateTotalEmissionsByCRF][20][TotalProcessEmissionsTCo2e]",Submission!$O:$O,Submission!$H:$N,""))</f>
        <v>0</v>
      </c>
    </row>
    <row r="89" spans="3:9" ht="16.2" customHeight="1" x14ac:dyDescent="0.3">
      <c r="C89" s="365" t="str">
        <f>_xlfn.CONCAT(_xlfn.XLOOKUP("[S05_AggregateTotalEmissionsByCRF][21][CRFCategory1]",Submission!$O:$O,Submission!$H:$N,""))</f>
        <v>1A2e - Energy - Food Processing, Beverages and Tobacco</v>
      </c>
      <c r="D89" s="366"/>
      <c r="E89" s="367" t="str">
        <f>_xlfn.CONCAT(_xlfn.XLOOKUP("[S05_AggregateTotalEmissionsByCRF][21][CRFCategory2]",Submission!$O:$O,Submission!$H:$N,""))</f>
        <v>2A2 - Process - Lime Production</v>
      </c>
      <c r="F89" s="368"/>
      <c r="G89" s="126" t="str">
        <f>_xlfn.CONCAT(_xlfn.XLOOKUP("[S05_AggregateTotalEmissionsByCRF][21][TotalEmissionsTCo2e]",Submission!$O:$O,Submission!$H:$N,""))</f>
        <v>132409.631351039</v>
      </c>
      <c r="H89" s="126" t="str">
        <f>_xlfn.CONCAT(_xlfn.XLOOKUP("[S05_AggregateTotalEmissionsByCRF][21][TotalCombustionEmissionsTCo2e]",Submission!$O:$O,Submission!$H:$N,""))</f>
        <v>132409.631351039</v>
      </c>
      <c r="I89" s="126" t="str">
        <f>_xlfn.CONCAT(_xlfn.XLOOKUP("[S05_AggregateTotalEmissionsByCRF][21][TotalProcessEmissionsTCo2e]",Submission!$O:$O,Submission!$H:$N,""))</f>
        <v>0</v>
      </c>
    </row>
    <row r="90" spans="3:9" ht="16.2" customHeight="1" x14ac:dyDescent="0.3">
      <c r="C90" s="365" t="str">
        <f>_xlfn.CONCAT(_xlfn.XLOOKUP("[S05_AggregateTotalEmissionsByCRF][22][CRFCategory1]",Submission!$O:$O,Submission!$H:$N,""))</f>
        <v>1A2e - Energy - Food Processing, Beverages and Tobacco</v>
      </c>
      <c r="D90" s="366"/>
      <c r="E90" s="367" t="str">
        <f>_xlfn.CONCAT(_xlfn.XLOOKUP("[S05_AggregateTotalEmissionsByCRF][22][CRFCategory2]",Submission!$O:$O,Submission!$H:$N,""))</f>
        <v>2H - Process - Other Industrial Process and Product Use</v>
      </c>
      <c r="F90" s="368"/>
      <c r="G90" s="126" t="str">
        <f>_xlfn.CONCAT(_xlfn.XLOOKUP("[S05_AggregateTotalEmissionsByCRF][22][TotalEmissionsTCo2e]",Submission!$O:$O,Submission!$H:$N,""))</f>
        <v>20783.852083074</v>
      </c>
      <c r="H90" s="126" t="str">
        <f>_xlfn.CONCAT(_xlfn.XLOOKUP("[S05_AggregateTotalEmissionsByCRF][22][TotalCombustionEmissionsTCo2e]",Submission!$O:$O,Submission!$H:$N,""))</f>
        <v>20783.852083074</v>
      </c>
      <c r="I90" s="126" t="str">
        <f>_xlfn.CONCAT(_xlfn.XLOOKUP("[S05_AggregateTotalEmissionsByCRF][22][TotalProcessEmissionsTCo2e]",Submission!$O:$O,Submission!$H:$N,""))</f>
        <v>0</v>
      </c>
    </row>
    <row r="91" spans="3:9" ht="16.2" customHeight="1" x14ac:dyDescent="0.3">
      <c r="C91" s="365" t="str">
        <f>_xlfn.CONCAT(_xlfn.XLOOKUP("[S05_AggregateTotalEmissionsByCRF][23][CRFCategory1]",Submission!$O:$O,Submission!$H:$N,""))</f>
        <v>1A2f - Energy - Non-metallic minerals</v>
      </c>
      <c r="D91" s="366"/>
      <c r="E91" s="367" t="str">
        <f>_xlfn.CONCAT(_xlfn.XLOOKUP("[S05_AggregateTotalEmissionsByCRF][23][CRFCategory2]",Submission!$O:$O,Submission!$H:$N,""))</f>
        <v/>
      </c>
      <c r="F91" s="368"/>
      <c r="G91" s="126" t="str">
        <f>_xlfn.CONCAT(_xlfn.XLOOKUP("[S05_AggregateTotalEmissionsByCRF][23][TotalEmissionsTCo2e]",Submission!$O:$O,Submission!$H:$N,""))</f>
        <v>40194.664701526</v>
      </c>
      <c r="H91" s="126" t="str">
        <f>_xlfn.CONCAT(_xlfn.XLOOKUP("[S05_AggregateTotalEmissionsByCRF][23][TotalCombustionEmissionsTCo2e]",Submission!$O:$O,Submission!$H:$N,""))</f>
        <v>38779.427671526</v>
      </c>
      <c r="I91" s="126" t="str">
        <f>_xlfn.CONCAT(_xlfn.XLOOKUP("[S05_AggregateTotalEmissionsByCRF][23][TotalProcessEmissionsTCo2e]",Submission!$O:$O,Submission!$H:$N,""))</f>
        <v>1415.23703</v>
      </c>
    </row>
    <row r="92" spans="3:9" ht="16.2" customHeight="1" x14ac:dyDescent="0.3">
      <c r="C92" s="365" t="str">
        <f>_xlfn.CONCAT(_xlfn.XLOOKUP("[S05_AggregateTotalEmissionsByCRF][24][CRFCategory1]",Submission!$O:$O,Submission!$H:$N,""))</f>
        <v>1A2f - Energy - Non-metallic minerals</v>
      </c>
      <c r="D92" s="366"/>
      <c r="E92" s="367" t="str">
        <f>_xlfn.CONCAT(_xlfn.XLOOKUP("[S05_AggregateTotalEmissionsByCRF][24][CRFCategory2]",Submission!$O:$O,Submission!$H:$N,""))</f>
        <v>2A1 - Process - Cement Production</v>
      </c>
      <c r="F92" s="368"/>
      <c r="G92" s="126" t="str">
        <f>_xlfn.CONCAT(_xlfn.XLOOKUP("[S05_AggregateTotalEmissionsByCRF][24][TotalEmissionsTCo2e]",Submission!$O:$O,Submission!$H:$N,""))</f>
        <v>2822157.78594521</v>
      </c>
      <c r="H92" s="126" t="str">
        <f>_xlfn.CONCAT(_xlfn.XLOOKUP("[S05_AggregateTotalEmissionsByCRF][24][TotalCombustionEmissionsTCo2e]",Submission!$O:$O,Submission!$H:$N,""))</f>
        <v>857550.118411592</v>
      </c>
      <c r="I92" s="126" t="str">
        <f>_xlfn.CONCAT(_xlfn.XLOOKUP("[S05_AggregateTotalEmissionsByCRF][24][TotalProcessEmissionsTCo2e]",Submission!$O:$O,Submission!$H:$N,""))</f>
        <v>1964607.66753362</v>
      </c>
    </row>
    <row r="93" spans="3:9" ht="16.2" customHeight="1" x14ac:dyDescent="0.3">
      <c r="C93" s="365" t="str">
        <f>_xlfn.CONCAT(_xlfn.XLOOKUP("[S05_AggregateTotalEmissionsByCRF][25][CRFCategory1]",Submission!$O:$O,Submission!$H:$N,""))</f>
        <v>1A2f - Energy - Non-metallic minerals</v>
      </c>
      <c r="D93" s="366"/>
      <c r="E93" s="367" t="str">
        <f>_xlfn.CONCAT(_xlfn.XLOOKUP("[S05_AggregateTotalEmissionsByCRF][25][CRFCategory2]",Submission!$O:$O,Submission!$H:$N,""))</f>
        <v>2A2 - Process - Lime Production</v>
      </c>
      <c r="F93" s="368"/>
      <c r="G93" s="126" t="str">
        <f>_xlfn.CONCAT(_xlfn.XLOOKUP("[S05_AggregateTotalEmissionsByCRF][25][TotalEmissionsTCo2e]",Submission!$O:$O,Submission!$H:$N,""))</f>
        <v>954168.315309487</v>
      </c>
      <c r="H93" s="126" t="str">
        <f>_xlfn.CONCAT(_xlfn.XLOOKUP("[S05_AggregateTotalEmissionsByCRF][25][TotalCombustionEmissionsTCo2e]",Submission!$O:$O,Submission!$H:$N,""))</f>
        <v>287143.960461954</v>
      </c>
      <c r="I93" s="126" t="str">
        <f>_xlfn.CONCAT(_xlfn.XLOOKUP("[S05_AggregateTotalEmissionsByCRF][25][TotalProcessEmissionsTCo2e]",Submission!$O:$O,Submission!$H:$N,""))</f>
        <v>667024.354847533</v>
      </c>
    </row>
    <row r="94" spans="3:9" ht="16.2" customHeight="1" x14ac:dyDescent="0.3">
      <c r="C94" s="365" t="str">
        <f>_xlfn.CONCAT(_xlfn.XLOOKUP("[S05_AggregateTotalEmissionsByCRF][26][CRFCategory1]",Submission!$O:$O,Submission!$H:$N,""))</f>
        <v>1A2f - Energy - Non-metallic minerals</v>
      </c>
      <c r="D94" s="366"/>
      <c r="E94" s="367" t="str">
        <f>_xlfn.CONCAT(_xlfn.XLOOKUP("[S05_AggregateTotalEmissionsByCRF][26][CRFCategory2]",Submission!$O:$O,Submission!$H:$N,""))</f>
        <v>2A3 - Process - Glass production</v>
      </c>
      <c r="F94" s="368"/>
      <c r="G94" s="126" t="str">
        <f>_xlfn.CONCAT(_xlfn.XLOOKUP("[S05_AggregateTotalEmissionsByCRF][26][TotalEmissionsTCo2e]",Submission!$O:$O,Submission!$H:$N,""))</f>
        <v>380500.720244542</v>
      </c>
      <c r="H94" s="126" t="str">
        <f>_xlfn.CONCAT(_xlfn.XLOOKUP("[S05_AggregateTotalEmissionsByCRF][26][TotalCombustionEmissionsTCo2e]",Submission!$O:$O,Submission!$H:$N,""))</f>
        <v>312491.488143313</v>
      </c>
      <c r="I94" s="126" t="str">
        <f>_xlfn.CONCAT(_xlfn.XLOOKUP("[S05_AggregateTotalEmissionsByCRF][26][TotalProcessEmissionsTCo2e]",Submission!$O:$O,Submission!$H:$N,""))</f>
        <v>68009.232101229</v>
      </c>
    </row>
    <row r="95" spans="3:9" ht="16.2" customHeight="1" x14ac:dyDescent="0.3">
      <c r="C95" s="365" t="str">
        <f>_xlfn.CONCAT(_xlfn.XLOOKUP("[S05_AggregateTotalEmissionsByCRF][27][CRFCategory1]",Submission!$O:$O,Submission!$H:$N,""))</f>
        <v>1A2f - Energy - Non-metallic minerals</v>
      </c>
      <c r="D95" s="366"/>
      <c r="E95" s="367" t="str">
        <f>_xlfn.CONCAT(_xlfn.XLOOKUP("[S05_AggregateTotalEmissionsByCRF][27][CRFCategory2]",Submission!$O:$O,Submission!$H:$N,""))</f>
        <v>2A4 - Process - Other Process Uses of Carbonates</v>
      </c>
      <c r="F95" s="368"/>
      <c r="G95" s="126" t="str">
        <f>_xlfn.CONCAT(_xlfn.XLOOKUP("[S05_AggregateTotalEmissionsByCRF][27][TotalEmissionsTCo2e]",Submission!$O:$O,Submission!$H:$N,""))</f>
        <v>425237.701749385</v>
      </c>
      <c r="H95" s="126" t="str">
        <f>_xlfn.CONCAT(_xlfn.XLOOKUP("[S05_AggregateTotalEmissionsByCRF][27][TotalCombustionEmissionsTCo2e]",Submission!$O:$O,Submission!$H:$N,""))</f>
        <v>346152.556478081</v>
      </c>
      <c r="I95" s="126" t="str">
        <f>_xlfn.CONCAT(_xlfn.XLOOKUP("[S05_AggregateTotalEmissionsByCRF][27][TotalProcessEmissionsTCo2e]",Submission!$O:$O,Submission!$H:$N,""))</f>
        <v>79085.1452713038</v>
      </c>
    </row>
    <row r="96" spans="3:9" ht="16.2" customHeight="1" x14ac:dyDescent="0.3">
      <c r="C96" s="365" t="str">
        <f>_xlfn.CONCAT(_xlfn.XLOOKUP("[S05_AggregateTotalEmissionsByCRF][28][CRFCategory1]",Submission!$O:$O,Submission!$H:$N,""))</f>
        <v>1A2g - Energy - Other Manufacturing Industries and Construction</v>
      </c>
      <c r="D96" s="366"/>
      <c r="E96" s="367" t="str">
        <f>_xlfn.CONCAT(_xlfn.XLOOKUP("[S05_AggregateTotalEmissionsByCRF][28][CRFCategory2]",Submission!$O:$O,Submission!$H:$N,""))</f>
        <v/>
      </c>
      <c r="F96" s="368"/>
      <c r="G96" s="126" t="str">
        <f>_xlfn.CONCAT(_xlfn.XLOOKUP("[S05_AggregateTotalEmissionsByCRF][28][TotalEmissionsTCo2e]",Submission!$O:$O,Submission!$H:$N,""))</f>
        <v>166107.163897149</v>
      </c>
      <c r="H96" s="126" t="str">
        <f>_xlfn.CONCAT(_xlfn.XLOOKUP("[S05_AggregateTotalEmissionsByCRF][28][TotalCombustionEmissionsTCo2e]",Submission!$O:$O,Submission!$H:$N,""))</f>
        <v>166107.163897149</v>
      </c>
      <c r="I96" s="126" t="str">
        <f>_xlfn.CONCAT(_xlfn.XLOOKUP("[S05_AggregateTotalEmissionsByCRF][28][TotalProcessEmissionsTCo2e]",Submission!$O:$O,Submission!$H:$N,""))</f>
        <v>0</v>
      </c>
    </row>
    <row r="97" spans="3:9" ht="16.2" customHeight="1" x14ac:dyDescent="0.3">
      <c r="C97" s="365" t="str">
        <f>_xlfn.CONCAT(_xlfn.XLOOKUP("[S05_AggregateTotalEmissionsByCRF][29][CRFCategory1]",Submission!$O:$O,Submission!$H:$N,""))</f>
        <v>1A2g - Energy - Other Manufacturing Industries and Construction</v>
      </c>
      <c r="D97" s="366"/>
      <c r="E97" s="367" t="str">
        <f>_xlfn.CONCAT(_xlfn.XLOOKUP("[S05_AggregateTotalEmissionsByCRF][29][CRFCategory2]",Submission!$O:$O,Submission!$H:$N,""))</f>
        <v>2A2 - Process - Lime Production</v>
      </c>
      <c r="F97" s="368"/>
      <c r="G97" s="126" t="str">
        <f>_xlfn.CONCAT(_xlfn.XLOOKUP("[S05_AggregateTotalEmissionsByCRF][29][TotalEmissionsTCo2e]",Submission!$O:$O,Submission!$H:$N,""))</f>
        <v>22456.7842598325</v>
      </c>
      <c r="H97" s="126" t="str">
        <f>_xlfn.CONCAT(_xlfn.XLOOKUP("[S05_AggregateTotalEmissionsByCRF][29][TotalCombustionEmissionsTCo2e]",Submission!$O:$O,Submission!$H:$N,""))</f>
        <v>22456.7842598325</v>
      </c>
      <c r="I97" s="126" t="str">
        <f>_xlfn.CONCAT(_xlfn.XLOOKUP("[S05_AggregateTotalEmissionsByCRF][29][TotalProcessEmissionsTCo2e]",Submission!$O:$O,Submission!$H:$N,""))</f>
        <v>0</v>
      </c>
    </row>
    <row r="98" spans="3:9" ht="16.2" customHeight="1" x14ac:dyDescent="0.3">
      <c r="C98" s="365" t="str">
        <f>_xlfn.CONCAT(_xlfn.XLOOKUP("[S05_AggregateTotalEmissionsByCRF][30][CRFCategory1]",Submission!$O:$O,Submission!$H:$N,""))</f>
        <v>1A2g - Energy - Other Manufacturing Industries and Construction</v>
      </c>
      <c r="D98" s="366"/>
      <c r="E98" s="367" t="str">
        <f>_xlfn.CONCAT(_xlfn.XLOOKUP("[S05_AggregateTotalEmissionsByCRF][30][CRFCategory2]",Submission!$O:$O,Submission!$H:$N,""))</f>
        <v>2A3 - Process - Glass production</v>
      </c>
      <c r="F98" s="368"/>
      <c r="G98" s="126" t="str">
        <f>_xlfn.CONCAT(_xlfn.XLOOKUP("[S05_AggregateTotalEmissionsByCRF][30][TotalEmissionsTCo2e]",Submission!$O:$O,Submission!$H:$N,""))</f>
        <v>6386.28660328499</v>
      </c>
      <c r="H98" s="126" t="str">
        <f>_xlfn.CONCAT(_xlfn.XLOOKUP("[S05_AggregateTotalEmissionsByCRF][30][TotalCombustionEmissionsTCo2e]",Submission!$O:$O,Submission!$H:$N,""))</f>
        <v>5836.098603285</v>
      </c>
      <c r="I98" s="126" t="str">
        <f>_xlfn.CONCAT(_xlfn.XLOOKUP("[S05_AggregateTotalEmissionsByCRF][30][TotalProcessEmissionsTCo2e]",Submission!$O:$O,Submission!$H:$N,""))</f>
        <v>550.188</v>
      </c>
    </row>
    <row r="99" spans="3:9" ht="16.2" customHeight="1" x14ac:dyDescent="0.3">
      <c r="C99" s="365" t="str">
        <f>_xlfn.CONCAT(_xlfn.XLOOKUP("[S05_AggregateTotalEmissionsByCRF][31][CRFCategory1]",Submission!$O:$O,Submission!$H:$N,""))</f>
        <v>1A2g - Energy - Other Manufacturing Industries and Construction</v>
      </c>
      <c r="D99" s="366"/>
      <c r="E99" s="367" t="str">
        <f>_xlfn.CONCAT(_xlfn.XLOOKUP("[S05_AggregateTotalEmissionsByCRF][31][CRFCategory2]",Submission!$O:$O,Submission!$H:$N,""))</f>
        <v>2B10 - Process - Other Chemical Industry</v>
      </c>
      <c r="F99" s="368"/>
      <c r="G99" s="126" t="str">
        <f>_xlfn.CONCAT(_xlfn.XLOOKUP("[S05_AggregateTotalEmissionsByCRF][31][TotalEmissionsTCo2e]",Submission!$O:$O,Submission!$H:$N,""))</f>
        <v>0</v>
      </c>
      <c r="H99" s="126" t="str">
        <f>_xlfn.CONCAT(_xlfn.XLOOKUP("[S05_AggregateTotalEmissionsByCRF][31][TotalCombustionEmissionsTCo2e]",Submission!$O:$O,Submission!$H:$N,""))</f>
        <v>0</v>
      </c>
      <c r="I99" s="126" t="str">
        <f>_xlfn.CONCAT(_xlfn.XLOOKUP("[S05_AggregateTotalEmissionsByCRF][31][TotalProcessEmissionsTCo2e]",Submission!$O:$O,Submission!$H:$N,""))</f>
        <v>0</v>
      </c>
    </row>
    <row r="100" spans="3:9" ht="16.2" customHeight="1" x14ac:dyDescent="0.3">
      <c r="C100" s="365" t="str">
        <f>_xlfn.CONCAT(_xlfn.XLOOKUP("[S05_AggregateTotalEmissionsByCRF][32][CRFCategory1]",Submission!$O:$O,Submission!$H:$N,""))</f>
        <v>1A3e - Energy - Other Transportation (pipeline transport)</v>
      </c>
      <c r="D100" s="366"/>
      <c r="E100" s="367" t="str">
        <f>_xlfn.CONCAT(_xlfn.XLOOKUP("[S05_AggregateTotalEmissionsByCRF][32][CRFCategory2]",Submission!$O:$O,Submission!$H:$N,""))</f>
        <v/>
      </c>
      <c r="F100" s="368"/>
      <c r="G100" s="126" t="str">
        <f>_xlfn.CONCAT(_xlfn.XLOOKUP("[S05_AggregateTotalEmissionsByCRF][32][TotalEmissionsTCo2e]",Submission!$O:$O,Submission!$H:$N,""))</f>
        <v>39630.309604324</v>
      </c>
      <c r="H100" s="126" t="str">
        <f>_xlfn.CONCAT(_xlfn.XLOOKUP("[S05_AggregateTotalEmissionsByCRF][32][TotalCombustionEmissionsTCo2e]",Submission!$O:$O,Submission!$H:$N,""))</f>
        <v>39630.309604324</v>
      </c>
      <c r="I100" s="126" t="str">
        <f>_xlfn.CONCAT(_xlfn.XLOOKUP("[S05_AggregateTotalEmissionsByCRF][32][TotalProcessEmissionsTCo2e]",Submission!$O:$O,Submission!$H:$N,""))</f>
        <v>0</v>
      </c>
    </row>
    <row r="101" spans="3:9" ht="16.2" hidden="1" customHeight="1" outlineLevel="1" x14ac:dyDescent="0.3">
      <c r="C101" s="365" t="str">
        <f>_xlfn.CONCAT(_xlfn.XLOOKUP("[S05_AggregateTotalEmissionsByCRF][33][CRFCategory1]",Submission!$O:$O,Submission!$H:$N,""))</f>
        <v>1A4a - Energy - Commercial/Institutional</v>
      </c>
      <c r="D101" s="366"/>
      <c r="E101" s="367" t="str">
        <f>_xlfn.CONCAT(_xlfn.XLOOKUP("[S05_AggregateTotalEmissionsByCRF][33][CRFCategory2]",Submission!$O:$O,Submission!$H:$N,""))</f>
        <v/>
      </c>
      <c r="F101" s="368"/>
      <c r="G101" s="126" t="str">
        <f>_xlfn.CONCAT(_xlfn.XLOOKUP("[S05_AggregateTotalEmissionsByCRF][33][TotalEmissionsTCo2e]",Submission!$O:$O,Submission!$H:$N,""))</f>
        <v>25315.2973105795</v>
      </c>
      <c r="H101" s="126" t="str">
        <f>_xlfn.CONCAT(_xlfn.XLOOKUP("[S05_AggregateTotalEmissionsByCRF][33][TotalCombustionEmissionsTCo2e]",Submission!$O:$O,Submission!$H:$N,""))</f>
        <v>25315.2973105795</v>
      </c>
      <c r="I101" s="126" t="str">
        <f>_xlfn.CONCAT(_xlfn.XLOOKUP("[S05_AggregateTotalEmissionsByCRF][33][TotalProcessEmissionsTCo2e]",Submission!$O:$O,Submission!$H:$N,""))</f>
        <v>0</v>
      </c>
    </row>
    <row r="102" spans="3:9" ht="16.2" hidden="1" customHeight="1" outlineLevel="1" x14ac:dyDescent="0.3">
      <c r="C102" s="365" t="str">
        <f>_xlfn.CONCAT(_xlfn.XLOOKUP("[S05_AggregateTotalEmissionsByCRF][34][CRFCategory1]",Submission!$O:$O,Submission!$H:$N,""))</f>
        <v>1A5a - Energy - Other Stationary</v>
      </c>
      <c r="D102" s="366"/>
      <c r="E102" s="367" t="str">
        <f>_xlfn.CONCAT(_xlfn.XLOOKUP("[S05_AggregateTotalEmissionsByCRF][34][CRFCategory2]",Submission!$O:$O,Submission!$H:$N,""))</f>
        <v/>
      </c>
      <c r="F102" s="368"/>
      <c r="G102" s="126" t="str">
        <f>_xlfn.CONCAT(_xlfn.XLOOKUP("[S05_AggregateTotalEmissionsByCRF][34][TotalEmissionsTCo2e]",Submission!$O:$O,Submission!$H:$N,""))</f>
        <v>26869.8747752135</v>
      </c>
      <c r="H102" s="126" t="str">
        <f>_xlfn.CONCAT(_xlfn.XLOOKUP("[S05_AggregateTotalEmissionsByCRF][34][TotalCombustionEmissionsTCo2e]",Submission!$O:$O,Submission!$H:$N,""))</f>
        <v>26869.8747752135</v>
      </c>
      <c r="I102" s="126" t="str">
        <f>_xlfn.CONCAT(_xlfn.XLOOKUP("[S05_AggregateTotalEmissionsByCRF][34][TotalProcessEmissionsTCo2e]",Submission!$O:$O,Submission!$H:$N,""))</f>
        <v>0</v>
      </c>
    </row>
    <row r="103" spans="3:9" ht="16.2" hidden="1" customHeight="1" outlineLevel="1" x14ac:dyDescent="0.3">
      <c r="C103" s="365" t="str">
        <f>_xlfn.CONCAT(_xlfn.XLOOKUP("[S05_AggregateTotalEmissionsByCRF][35][CRFCategory1]",Submission!$O:$O,Submission!$H:$N,""))</f>
        <v>1A5a - Energy - Other Stationary</v>
      </c>
      <c r="D103" s="366"/>
      <c r="E103" s="367" t="str">
        <f>_xlfn.CONCAT(_xlfn.XLOOKUP("[S05_AggregateTotalEmissionsByCRF][35][CRFCategory2]",Submission!$O:$O,Submission!$H:$N,""))</f>
        <v>2A3 - Process - Glass production</v>
      </c>
      <c r="F103" s="368"/>
      <c r="G103" s="126" t="str">
        <f>_xlfn.CONCAT(_xlfn.XLOOKUP("[S05_AggregateTotalEmissionsByCRF][35][TotalEmissionsTCo2e]",Submission!$O:$O,Submission!$H:$N,""))</f>
        <v>302012.002082276</v>
      </c>
      <c r="H103" s="126" t="str">
        <f>_xlfn.CONCAT(_xlfn.XLOOKUP("[S05_AggregateTotalEmissionsByCRF][35][TotalCombustionEmissionsTCo2e]",Submission!$O:$O,Submission!$H:$N,""))</f>
        <v>223954.217516931</v>
      </c>
      <c r="I103" s="126" t="str">
        <f>_xlfn.CONCAT(_xlfn.XLOOKUP("[S05_AggregateTotalEmissionsByCRF][35][TotalProcessEmissionsTCo2e]",Submission!$O:$O,Submission!$H:$N,""))</f>
        <v>78057.7845653448</v>
      </c>
    </row>
    <row r="104" spans="3:9" ht="16.2" hidden="1" customHeight="1" outlineLevel="1" x14ac:dyDescent="0.3">
      <c r="C104" s="365" t="str">
        <f>_xlfn.CONCAT(_xlfn.XLOOKUP("[S05_AggregateTotalEmissionsByCRF][36][CRFCategory1]",Submission!$O:$O,Submission!$H:$N,""))</f>
        <v>1B2b - Energy - Fugitive - Natural Gas</v>
      </c>
      <c r="D104" s="366"/>
      <c r="E104" s="367" t="str">
        <f>_xlfn.CONCAT(_xlfn.XLOOKUP("[S05_AggregateTotalEmissionsByCRF][36][CRFCategory2]",Submission!$O:$O,Submission!$H:$N,""))</f>
        <v/>
      </c>
      <c r="F104" s="368"/>
      <c r="G104" s="126" t="str">
        <f>_xlfn.CONCAT(_xlfn.XLOOKUP("[S05_AggregateTotalEmissionsByCRF][36][TotalEmissionsTCo2e]",Submission!$O:$O,Submission!$H:$N,""))</f>
        <v>45647.5750164208</v>
      </c>
      <c r="H104" s="126" t="str">
        <f>_xlfn.CONCAT(_xlfn.XLOOKUP("[S05_AggregateTotalEmissionsByCRF][36][TotalCombustionEmissionsTCo2e]",Submission!$O:$O,Submission!$H:$N,""))</f>
        <v>45328.6475512208</v>
      </c>
      <c r="I104" s="126" t="str">
        <f>_xlfn.CONCAT(_xlfn.XLOOKUP("[S05_AggregateTotalEmissionsByCRF][36][TotalProcessEmissionsTCo2e]",Submission!$O:$O,Submission!$H:$N,""))</f>
        <v>318.9274652</v>
      </c>
    </row>
    <row r="105" spans="3:9" ht="16.2" hidden="1" customHeight="1" outlineLevel="1" x14ac:dyDescent="0.3">
      <c r="C105" s="365" t="str">
        <f>_xlfn.CONCAT(_xlfn.XLOOKUP("[S05_AggregateTotalEmissionsByCRF][37][CRFCategory1]",Submission!$O:$O,Submission!$H:$N,""))</f>
        <v>1B2b - Energy - Fugitive - Natural Gas</v>
      </c>
      <c r="D105" s="366"/>
      <c r="E105" s="367" t="str">
        <f>_xlfn.CONCAT(_xlfn.XLOOKUP("[S05_AggregateTotalEmissionsByCRF][37][CRFCategory2]",Submission!$O:$O,Submission!$H:$N,""))</f>
        <v>2A4 - Process - Other Process Uses of Carbonates</v>
      </c>
      <c r="F105" s="368"/>
      <c r="G105" s="126" t="str">
        <f>_xlfn.CONCAT(_xlfn.XLOOKUP("[S05_AggregateTotalEmissionsByCRF][37][TotalEmissionsTCo2e]",Submission!$O:$O,Submission!$H:$N,""))</f>
        <v>41789.6320663475</v>
      </c>
      <c r="H105" s="126" t="str">
        <f>_xlfn.CONCAT(_xlfn.XLOOKUP("[S05_AggregateTotalEmissionsByCRF][37][TotalCombustionEmissionsTCo2e]",Submission!$O:$O,Submission!$H:$N,""))</f>
        <v>28684.6390778575</v>
      </c>
      <c r="I105" s="126" t="str">
        <f>_xlfn.CONCAT(_xlfn.XLOOKUP("[S05_AggregateTotalEmissionsByCRF][37][TotalProcessEmissionsTCo2e]",Submission!$O:$O,Submission!$H:$N,""))</f>
        <v>13104.99298849</v>
      </c>
    </row>
    <row r="106" spans="3:9" ht="16.2" hidden="1" customHeight="1" outlineLevel="1" x14ac:dyDescent="0.3">
      <c r="C106" s="365" t="str">
        <f>_xlfn.CONCAT(_xlfn.XLOOKUP("[S05_AggregateTotalEmissionsByCRF][38][CRFCategory1]",Submission!$O:$O,Submission!$H:$N,""))</f>
        <v>1B2b - Energy - Fugitive - Natural Gas</v>
      </c>
      <c r="D106" s="366"/>
      <c r="E106" s="367" t="str">
        <f>_xlfn.CONCAT(_xlfn.XLOOKUP("[S05_AggregateTotalEmissionsByCRF][38][CRFCategory2]",Submission!$O:$O,Submission!$H:$N,""))</f>
        <v>2B10 - Process - Other Chemical Industry</v>
      </c>
      <c r="F106" s="368"/>
      <c r="G106" s="126" t="str">
        <f>_xlfn.CONCAT(_xlfn.XLOOKUP("[S05_AggregateTotalEmissionsByCRF][38][TotalEmissionsTCo2e]",Submission!$O:$O,Submission!$H:$N,""))</f>
        <v>39744.5519424969</v>
      </c>
      <c r="H106" s="126" t="str">
        <f>_xlfn.CONCAT(_xlfn.XLOOKUP("[S05_AggregateTotalEmissionsByCRF][38][TotalCombustionEmissionsTCo2e]",Submission!$O:$O,Submission!$H:$N,""))</f>
        <v>39744.5519424969</v>
      </c>
      <c r="I106" s="126" t="str">
        <f>_xlfn.CONCAT(_xlfn.XLOOKUP("[S05_AggregateTotalEmissionsByCRF][38][TotalProcessEmissionsTCo2e]",Submission!$O:$O,Submission!$H:$N,""))</f>
        <v>0</v>
      </c>
    </row>
    <row r="107" spans="3:9" ht="16.2" hidden="1" customHeight="1" outlineLevel="1" x14ac:dyDescent="0.3">
      <c r="C107" s="365" t="str">
        <f>_xlfn.CONCAT(_xlfn.XLOOKUP("[S05_AggregateTotalEmissionsByCRF][39][CRFCategory1]",Submission!$O:$O,Submission!$H:$N,""))</f>
        <v/>
      </c>
      <c r="D107" s="366"/>
      <c r="E107" s="367" t="str">
        <f>_xlfn.CONCAT(_xlfn.XLOOKUP("[S05_AggregateTotalEmissionsByCRF][39][CRFCategory2]",Submission!$O:$O,Submission!$H:$N,""))</f>
        <v>2A3 - Process - Glass production</v>
      </c>
      <c r="F107" s="368"/>
      <c r="G107" s="126" t="str">
        <f>_xlfn.CONCAT(_xlfn.XLOOKUP("[S05_AggregateTotalEmissionsByCRF][39][TotalEmissionsTCo2e]",Submission!$O:$O,Submission!$H:$N,""))</f>
        <v>26970.672835133</v>
      </c>
      <c r="H107" s="126" t="str">
        <f>_xlfn.CONCAT(_xlfn.XLOOKUP("[S05_AggregateTotalEmissionsByCRF][39][TotalCombustionEmissionsTCo2e]",Submission!$O:$O,Submission!$H:$N,""))</f>
        <v>24011.290816183</v>
      </c>
      <c r="I107" s="126" t="str">
        <f>_xlfn.CONCAT(_xlfn.XLOOKUP("[S05_AggregateTotalEmissionsByCRF][39][TotalProcessEmissionsTCo2e]",Submission!$O:$O,Submission!$H:$N,""))</f>
        <v>2959.38201895</v>
      </c>
    </row>
    <row r="108" spans="3:9" ht="16.2" hidden="1" customHeight="1" outlineLevel="1" x14ac:dyDescent="0.3">
      <c r="C108" s="365" t="str">
        <f>_xlfn.CONCAT(_xlfn.XLOOKUP("[S05_AggregateTotalEmissionsByCRF][40][CRFCategory1]",Submission!$O:$O,Submission!$H:$N,""))</f>
        <v/>
      </c>
      <c r="D108" s="366"/>
      <c r="E108" s="367" t="str">
        <f>_xlfn.CONCAT(_xlfn.XLOOKUP("[S05_AggregateTotalEmissionsByCRF][40][CRFCategory2]",Submission!$O:$O,Submission!$H:$N,""))</f>
        <v>2A4 - Process - Other Process Uses of Carbonates</v>
      </c>
      <c r="F108" s="368"/>
      <c r="G108" s="126" t="str">
        <f>_xlfn.CONCAT(_xlfn.XLOOKUP("[S05_AggregateTotalEmissionsByCRF][40][TotalEmissionsTCo2e]",Submission!$O:$O,Submission!$H:$N,""))</f>
        <v>0</v>
      </c>
      <c r="H108" s="126" t="str">
        <f>_xlfn.CONCAT(_xlfn.XLOOKUP("[S05_AggregateTotalEmissionsByCRF][40][TotalCombustionEmissionsTCo2e]",Submission!$O:$O,Submission!$H:$N,""))</f>
        <v>0</v>
      </c>
      <c r="I108" s="126" t="str">
        <f>_xlfn.CONCAT(_xlfn.XLOOKUP("[S05_AggregateTotalEmissionsByCRF][40][TotalProcessEmissionsTCo2e]",Submission!$O:$O,Submission!$H:$N,""))</f>
        <v>0</v>
      </c>
    </row>
    <row r="109" spans="3:9" ht="16.2" hidden="1" customHeight="1" outlineLevel="1" x14ac:dyDescent="0.3">
      <c r="C109" s="365" t="str">
        <f>_xlfn.CONCAT(_xlfn.XLOOKUP("[S05_AggregateTotalEmissionsByCRF][41][CRFCategory1]",Submission!$O:$O,Submission!$H:$N,""))</f>
        <v/>
      </c>
      <c r="D109" s="366"/>
      <c r="E109" s="367" t="str">
        <f>_xlfn.CONCAT(_xlfn.XLOOKUP("[S05_AggregateTotalEmissionsByCRF][41][CRFCategory2]",Submission!$O:$O,Submission!$H:$N,""))</f>
        <v>2C1 - Process - Iron and Steel Production</v>
      </c>
      <c r="F109" s="368"/>
      <c r="G109" s="126" t="str">
        <f>_xlfn.CONCAT(_xlfn.XLOOKUP("[S05_AggregateTotalEmissionsByCRF][41][TotalEmissionsTCo2e]",Submission!$O:$O,Submission!$H:$N,""))</f>
        <v>2532658.26193605</v>
      </c>
      <c r="H109" s="126" t="str">
        <f>_xlfn.CONCAT(_xlfn.XLOOKUP("[S05_AggregateTotalEmissionsByCRF][41][TotalCombustionEmissionsTCo2e]",Submission!$O:$O,Submission!$H:$N,""))</f>
        <v>2018352.94544196</v>
      </c>
      <c r="I109" s="126" t="str">
        <f>_xlfn.CONCAT(_xlfn.XLOOKUP("[S05_AggregateTotalEmissionsByCRF][41][TotalProcessEmissionsTCo2e]",Submission!$O:$O,Submission!$H:$N,""))</f>
        <v>514305.316494091</v>
      </c>
    </row>
    <row r="110" spans="3:9" ht="16.2" hidden="1" customHeight="1" outlineLevel="1" x14ac:dyDescent="0.3">
      <c r="C110" s="365" t="str">
        <f>_xlfn.CONCAT(_xlfn.XLOOKUP("[S05_AggregateTotalEmissionsByCRF][42][CRFCategory1]",Submission!$O:$O,Submission!$H:$N,""))</f>
        <v/>
      </c>
      <c r="D110" s="366"/>
      <c r="E110" s="367" t="str">
        <f>_xlfn.CONCAT(_xlfn.XLOOKUP("[S05_AggregateTotalEmissionsByCRF][42][CRFCategory2]",Submission!$O:$O,Submission!$H:$N,""))</f>
        <v>2G - Process - Other Product Manufacture and Use</v>
      </c>
      <c r="F110" s="368"/>
      <c r="G110" s="126" t="str">
        <f>_xlfn.CONCAT(_xlfn.XLOOKUP("[S05_AggregateTotalEmissionsByCRF][42][TotalEmissionsTCo2e]",Submission!$O:$O,Submission!$H:$N,""))</f>
        <v>5634.429584</v>
      </c>
      <c r="H110" s="126" t="str">
        <f>_xlfn.CONCAT(_xlfn.XLOOKUP("[S05_AggregateTotalEmissionsByCRF][42][TotalCombustionEmissionsTCo2e]",Submission!$O:$O,Submission!$H:$N,""))</f>
        <v>0</v>
      </c>
      <c r="I110" s="126" t="str">
        <f>_xlfn.CONCAT(_xlfn.XLOOKUP("[S05_AggregateTotalEmissionsByCRF][42][TotalProcessEmissionsTCo2e]",Submission!$O:$O,Submission!$H:$N,""))</f>
        <v>5634.429584</v>
      </c>
    </row>
    <row r="111" spans="3:9" ht="16.2" hidden="1" customHeight="1" outlineLevel="1" x14ac:dyDescent="0.3">
      <c r="C111" s="365" t="str">
        <f>_xlfn.CONCAT(_xlfn.XLOOKUP("[S05_AggregateTotalEmissionsByCRF][43][CRFCategory1]",Submission!$O:$O,Submission!$H:$N,""))</f>
        <v/>
      </c>
      <c r="D111" s="366"/>
      <c r="E111" s="367" t="str">
        <f>_xlfn.CONCAT(_xlfn.XLOOKUP("[S05_AggregateTotalEmissionsByCRF][43][CRFCategory2]",Submission!$O:$O,Submission!$H:$N,""))</f>
        <v/>
      </c>
      <c r="F111" s="368"/>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65" t="str">
        <f>_xlfn.CONCAT(_xlfn.XLOOKUP("[S05_AggregateTotalEmissionsByCRF][44][CRFCategory1]",Submission!$O:$O,Submission!$H:$N,""))</f>
        <v/>
      </c>
      <c r="D112" s="366"/>
      <c r="E112" s="367" t="str">
        <f>_xlfn.CONCAT(_xlfn.XLOOKUP("[S05_AggregateTotalEmissionsByCRF][44][CRFCategory2]",Submission!$O:$O,Submission!$H:$N,""))</f>
        <v/>
      </c>
      <c r="F112" s="368"/>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65" t="str">
        <f>_xlfn.CONCAT(_xlfn.XLOOKUP("[S05_AggregateTotalEmissionsByCRF][45][CRFCategory1]",Submission!$O:$O,Submission!$H:$N,""))</f>
        <v/>
      </c>
      <c r="D113" s="366"/>
      <c r="E113" s="367" t="str">
        <f>_xlfn.CONCAT(_xlfn.XLOOKUP("[S05_AggregateTotalEmissionsByCRF][45][CRFCategory2]",Submission!$O:$O,Submission!$H:$N,""))</f>
        <v/>
      </c>
      <c r="F113" s="368"/>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65" t="str">
        <f>_xlfn.CONCAT(_xlfn.XLOOKUP("[S05_AggregateTotalEmissionsByCRF][46][CRFCategory1]",Submission!$O:$O,Submission!$H:$N,""))</f>
        <v/>
      </c>
      <c r="D114" s="366"/>
      <c r="E114" s="367" t="str">
        <f>_xlfn.CONCAT(_xlfn.XLOOKUP("[S05_AggregateTotalEmissionsByCRF][46][CRFCategory2]",Submission!$O:$O,Submission!$H:$N,""))</f>
        <v/>
      </c>
      <c r="F114" s="368"/>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5" t="str">
        <f>_xlfn.CONCAT(_xlfn.XLOOKUP("[S05_AggregateTotalEmissionsByCRF][47][CRFCategory1]",Submission!$O:$O,Submission!$H:$N,""))</f>
        <v/>
      </c>
      <c r="D115" s="366"/>
      <c r="E115" s="367" t="str">
        <f>_xlfn.CONCAT(_xlfn.XLOOKUP("[S05_AggregateTotalEmissionsByCRF][47][CRFCategory2]",Submission!$O:$O,Submission!$H:$N,""))</f>
        <v/>
      </c>
      <c r="F115" s="368"/>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5" t="str">
        <f>_xlfn.CONCAT(_xlfn.XLOOKUP("[S05_AggregateTotalEmissionsByCRF][48][CRFCategory1]",Submission!$O:$O,Submission!$H:$N,""))</f>
        <v/>
      </c>
      <c r="D116" s="366"/>
      <c r="E116" s="367" t="str">
        <f>_xlfn.CONCAT(_xlfn.XLOOKUP("[S05_AggregateTotalEmissionsByCRF][48][CRFCategory2]",Submission!$O:$O,Submission!$H:$N,""))</f>
        <v/>
      </c>
      <c r="F116" s="368"/>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5" t="str">
        <f>_xlfn.CONCAT(_xlfn.XLOOKUP("[S05_AggregateTotalEmissionsByCRF][49][CRFCategory1]",Submission!$O:$O,Submission!$H:$N,""))</f>
        <v/>
      </c>
      <c r="D117" s="366"/>
      <c r="E117" s="367" t="str">
        <f>_xlfn.CONCAT(_xlfn.XLOOKUP("[S05_AggregateTotalEmissionsByCRF][49][CRFCategory2]",Submission!$O:$O,Submission!$H:$N,""))</f>
        <v/>
      </c>
      <c r="F117" s="368"/>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5" t="str">
        <f>_xlfn.CONCAT(_xlfn.XLOOKUP("[S05_AggregateTotalEmissionsByCRF][50][CRFCategory1]",Submission!$O:$O,Submission!$H:$N,""))</f>
        <v/>
      </c>
      <c r="D118" s="366"/>
      <c r="E118" s="367" t="str">
        <f>_xlfn.CONCAT(_xlfn.XLOOKUP("[S05_AggregateTotalEmissionsByCRF][50][CRFCategory2]",Submission!$O:$O,Submission!$H:$N,""))</f>
        <v/>
      </c>
      <c r="F118" s="368"/>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5" t="str">
        <f>_xlfn.CONCAT(_xlfn.XLOOKUP("[S05_AggregateTotalEmissionsByCRF][51][CRFCategory1]",Submission!$O:$O,Submission!$H:$N,""))</f>
        <v/>
      </c>
      <c r="D119" s="366"/>
      <c r="E119" s="367" t="str">
        <f>_xlfn.CONCAT(_xlfn.XLOOKUP("[S05_AggregateTotalEmissionsByCRF][51][CRFCategory2]",Submission!$O:$O,Submission!$H:$N,""))</f>
        <v/>
      </c>
      <c r="F119" s="368"/>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5" t="str">
        <f>_xlfn.CONCAT(_xlfn.XLOOKUP("[S05_AggregateTotalEmissionsByCRF][52][CRFCategory1]",Submission!$O:$O,Submission!$H:$N,""))</f>
        <v/>
      </c>
      <c r="D120" s="366"/>
      <c r="E120" s="367" t="str">
        <f>_xlfn.CONCAT(_xlfn.XLOOKUP("[S05_AggregateTotalEmissionsByCRF][52][CRFCategory2]",Submission!$O:$O,Submission!$H:$N,""))</f>
        <v/>
      </c>
      <c r="F120" s="368"/>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5" t="str">
        <f>_xlfn.CONCAT(_xlfn.XLOOKUP("[S05_AggregateTotalEmissionsByCRF][53][CRFCategory1]",Submission!$O:$O,Submission!$H:$N,""))</f>
        <v/>
      </c>
      <c r="D121" s="366"/>
      <c r="E121" s="367" t="str">
        <f>_xlfn.CONCAT(_xlfn.XLOOKUP("[S05_AggregateTotalEmissionsByCRF][53][CRFCategory2]",Submission!$O:$O,Submission!$H:$N,""))</f>
        <v/>
      </c>
      <c r="F121" s="368"/>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5" t="str">
        <f>_xlfn.CONCAT(_xlfn.XLOOKUP("[S05_AggregateTotalEmissionsByCRF][54][CRFCategory1]",Submission!$O:$O,Submission!$H:$N,""))</f>
        <v/>
      </c>
      <c r="D122" s="366"/>
      <c r="E122" s="367" t="str">
        <f>_xlfn.CONCAT(_xlfn.XLOOKUP("[S05_AggregateTotalEmissionsByCRF][54][CRFCategory2]",Submission!$O:$O,Submission!$H:$N,""))</f>
        <v/>
      </c>
      <c r="F122" s="368"/>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5" t="str">
        <f>_xlfn.CONCAT(_xlfn.XLOOKUP("[S05_AggregateTotalEmissionsByCRF][55][CRFCategory1]",Submission!$O:$O,Submission!$H:$N,""))</f>
        <v/>
      </c>
      <c r="D123" s="366"/>
      <c r="E123" s="367" t="str">
        <f>_xlfn.CONCAT(_xlfn.XLOOKUP("[S05_AggregateTotalEmissionsByCRF][55][CRFCategory2]",Submission!$O:$O,Submission!$H:$N,""))</f>
        <v/>
      </c>
      <c r="F123" s="368"/>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5" t="str">
        <f>_xlfn.CONCAT(_xlfn.XLOOKUP("[S05_AggregateTotalEmissionsByCRF][56][CRFCategory1]",Submission!$O:$O,Submission!$H:$N,""))</f>
        <v/>
      </c>
      <c r="D124" s="366"/>
      <c r="E124" s="367" t="str">
        <f>_xlfn.CONCAT(_xlfn.XLOOKUP("[S05_AggregateTotalEmissionsByCRF][56][CRFCategory2]",Submission!$O:$O,Submission!$H:$N,""))</f>
        <v/>
      </c>
      <c r="F124" s="368"/>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5" t="str">
        <f>_xlfn.CONCAT(_xlfn.XLOOKUP("[S05_AggregateTotalEmissionsByCRF][57][CRFCategory1]",Submission!$O:$O,Submission!$H:$N,""))</f>
        <v/>
      </c>
      <c r="D125" s="366"/>
      <c r="E125" s="367" t="str">
        <f>_xlfn.CONCAT(_xlfn.XLOOKUP("[S05_AggregateTotalEmissionsByCRF][57][CRFCategory2]",Submission!$O:$O,Submission!$H:$N,""))</f>
        <v/>
      </c>
      <c r="F125" s="368"/>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5" t="str">
        <f>_xlfn.CONCAT(_xlfn.XLOOKUP("[S05_AggregateTotalEmissionsByCRF][58][CRFCategory1]",Submission!$O:$O,Submission!$H:$N,""))</f>
        <v/>
      </c>
      <c r="D126" s="366"/>
      <c r="E126" s="367" t="str">
        <f>_xlfn.CONCAT(_xlfn.XLOOKUP("[S05_AggregateTotalEmissionsByCRF][58][CRFCategory2]",Submission!$O:$O,Submission!$H:$N,""))</f>
        <v/>
      </c>
      <c r="F126" s="368"/>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5" t="str">
        <f>_xlfn.CONCAT(_xlfn.XLOOKUP("[S05_AggregateTotalEmissionsByCRF][59][CRFCategory1]",Submission!$O:$O,Submission!$H:$N,""))</f>
        <v/>
      </c>
      <c r="D127" s="366"/>
      <c r="E127" s="367" t="str">
        <f>_xlfn.CONCAT(_xlfn.XLOOKUP("[S05_AggregateTotalEmissionsByCRF][59][CRFCategory2]",Submission!$O:$O,Submission!$H:$N,""))</f>
        <v/>
      </c>
      <c r="F127" s="368"/>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5" t="str">
        <f>_xlfn.CONCAT(_xlfn.XLOOKUP("[S05_AggregateTotalEmissionsByCRF][60][CRFCategory1]",Submission!$O:$O,Submission!$H:$N,""))</f>
        <v/>
      </c>
      <c r="D128" s="366"/>
      <c r="E128" s="367" t="str">
        <f>_xlfn.CONCAT(_xlfn.XLOOKUP("[S05_AggregateTotalEmissionsByCRF][60][CRFCategory2]",Submission!$O:$O,Submission!$H:$N,""))</f>
        <v/>
      </c>
      <c r="F128" s="368"/>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5" t="str">
        <f>_xlfn.CONCAT(_xlfn.XLOOKUP("[S05_AggregateTotalEmissionsByCRF][61][CRFCategory1]",Submission!$O:$O,Submission!$H:$N,""))</f>
        <v/>
      </c>
      <c r="D129" s="366"/>
      <c r="E129" s="367" t="str">
        <f>_xlfn.CONCAT(_xlfn.XLOOKUP("[S05_AggregateTotalEmissionsByCRF][61][CRFCategory2]",Submission!$O:$O,Submission!$H:$N,""))</f>
        <v/>
      </c>
      <c r="F129" s="368"/>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5" t="str">
        <f>_xlfn.CONCAT(_xlfn.XLOOKUP("[S05_AggregateTotalEmissionsByCRF][62][CRFCategory1]",Submission!$O:$O,Submission!$H:$N,""))</f>
        <v/>
      </c>
      <c r="D130" s="366"/>
      <c r="E130" s="367" t="str">
        <f>_xlfn.CONCAT(_xlfn.XLOOKUP("[S05_AggregateTotalEmissionsByCRF][62][CRFCategory2]",Submission!$O:$O,Submission!$H:$N,""))</f>
        <v/>
      </c>
      <c r="F130" s="368"/>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5" t="str">
        <f>_xlfn.CONCAT(_xlfn.XLOOKUP("[S05_AggregateTotalEmissionsByCRF][63][CRFCategory1]",Submission!$O:$O,Submission!$H:$N,""))</f>
        <v/>
      </c>
      <c r="D131" s="366"/>
      <c r="E131" s="367" t="str">
        <f>_xlfn.CONCAT(_xlfn.XLOOKUP("[S05_AggregateTotalEmissionsByCRF][63][CRFCategory2]",Submission!$O:$O,Submission!$H:$N,""))</f>
        <v/>
      </c>
      <c r="F131" s="368"/>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5" t="str">
        <f>_xlfn.CONCAT(_xlfn.XLOOKUP("[S05_AggregateTotalEmissionsByCRF][64][CRFCategory1]",Submission!$O:$O,Submission!$H:$N,""))</f>
        <v/>
      </c>
      <c r="D132" s="366"/>
      <c r="E132" s="367" t="str">
        <f>_xlfn.CONCAT(_xlfn.XLOOKUP("[S05_AggregateTotalEmissionsByCRF][64][CRFCategory2]",Submission!$O:$O,Submission!$H:$N,""))</f>
        <v/>
      </c>
      <c r="F132" s="368"/>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5" t="str">
        <f>_xlfn.CONCAT(_xlfn.XLOOKUP("[S05_AggregateTotalEmissionsByCRF][65][CRFCategory1]",Submission!$O:$O,Submission!$H:$N,""))</f>
        <v/>
      </c>
      <c r="D133" s="366"/>
      <c r="E133" s="367" t="str">
        <f>_xlfn.CONCAT(_xlfn.XLOOKUP("[S05_AggregateTotalEmissionsByCRF][65][CRFCategory2]",Submission!$O:$O,Submission!$H:$N,""))</f>
        <v/>
      </c>
      <c r="F133" s="368"/>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5" t="str">
        <f>_xlfn.CONCAT(_xlfn.XLOOKUP("[S05_AggregateTotalEmissionsByCRF][66][CRFCategory1]",Submission!$O:$O,Submission!$H:$N,""))</f>
        <v/>
      </c>
      <c r="D134" s="366"/>
      <c r="E134" s="367" t="str">
        <f>_xlfn.CONCAT(_xlfn.XLOOKUP("[S05_AggregateTotalEmissionsByCRF][66][CRFCategory2]",Submission!$O:$O,Submission!$H:$N,""))</f>
        <v/>
      </c>
      <c r="F134" s="368"/>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5" t="str">
        <f>_xlfn.CONCAT(_xlfn.XLOOKUP("[S05_AggregateTotalEmissionsByCRF][67][CRFCategory1]",Submission!$O:$O,Submission!$H:$N,""))</f>
        <v/>
      </c>
      <c r="D135" s="366"/>
      <c r="E135" s="367" t="str">
        <f>_xlfn.CONCAT(_xlfn.XLOOKUP("[S05_AggregateTotalEmissionsByCRF][67][CRFCategory2]",Submission!$O:$O,Submission!$H:$N,""))</f>
        <v/>
      </c>
      <c r="F135" s="368"/>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5" t="str">
        <f>_xlfn.CONCAT(_xlfn.XLOOKUP("[S05_AggregateTotalEmissionsByCRF][68][CRFCategory1]",Submission!$O:$O,Submission!$H:$N,""))</f>
        <v/>
      </c>
      <c r="D136" s="366"/>
      <c r="E136" s="367" t="str">
        <f>_xlfn.CONCAT(_xlfn.XLOOKUP("[S05_AggregateTotalEmissionsByCRF][68][CRFCategory2]",Submission!$O:$O,Submission!$H:$N,""))</f>
        <v/>
      </c>
      <c r="F136" s="368"/>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5" t="str">
        <f>_xlfn.CONCAT(_xlfn.XLOOKUP("[S05_AggregateTotalEmissionsByCRF][69][CRFCategory1]",Submission!$O:$O,Submission!$H:$N,""))</f>
        <v/>
      </c>
      <c r="D137" s="366"/>
      <c r="E137" s="367" t="str">
        <f>_xlfn.CONCAT(_xlfn.XLOOKUP("[S05_AggregateTotalEmissionsByCRF][69][CRFCategory2]",Submission!$O:$O,Submission!$H:$N,""))</f>
        <v/>
      </c>
      <c r="F137" s="368"/>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5" t="str">
        <f>_xlfn.CONCAT(_xlfn.XLOOKUP("[S05_AggregateTotalEmissionsByCRF][70][CRFCategory1]",Submission!$O:$O,Submission!$H:$N,""))</f>
        <v/>
      </c>
      <c r="D138" s="366"/>
      <c r="E138" s="367" t="str">
        <f>_xlfn.CONCAT(_xlfn.XLOOKUP("[S05_AggregateTotalEmissionsByCRF][70][CRFCategory2]",Submission!$O:$O,Submission!$H:$N,""))</f>
        <v/>
      </c>
      <c r="F138" s="368"/>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5" t="str">
        <f>_xlfn.CONCAT(_xlfn.XLOOKUP("[S05_AggregateTotalEmissionsByCRF][71][CRFCategory1]",Submission!$O:$O,Submission!$H:$N,""))</f>
        <v/>
      </c>
      <c r="D139" s="366"/>
      <c r="E139" s="367" t="str">
        <f>_xlfn.CONCAT(_xlfn.XLOOKUP("[S05_AggregateTotalEmissionsByCRF][71][CRFCategory2]",Submission!$O:$O,Submission!$H:$N,""))</f>
        <v/>
      </c>
      <c r="F139" s="368"/>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5" t="str">
        <f>_xlfn.CONCAT(_xlfn.XLOOKUP("[S05_AggregateTotalEmissionsByCRF][72][CRFCategory1]",Submission!$O:$O,Submission!$H:$N,""))</f>
        <v/>
      </c>
      <c r="D140" s="366"/>
      <c r="E140" s="367" t="str">
        <f>_xlfn.CONCAT(_xlfn.XLOOKUP("[S05_AggregateTotalEmissionsByCRF][72][CRFCategory2]",Submission!$O:$O,Submission!$H:$N,""))</f>
        <v/>
      </c>
      <c r="F140" s="368"/>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5" t="str">
        <f>_xlfn.CONCAT(_xlfn.XLOOKUP("[S05_AggregateTotalEmissionsByCRF][73][CRFCategory1]",Submission!$O:$O,Submission!$H:$N,""))</f>
        <v/>
      </c>
      <c r="D141" s="366"/>
      <c r="E141" s="367" t="str">
        <f>_xlfn.CONCAT(_xlfn.XLOOKUP("[S05_AggregateTotalEmissionsByCRF][73][CRFCategory2]",Submission!$O:$O,Submission!$H:$N,""))</f>
        <v/>
      </c>
      <c r="F141" s="368"/>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5" t="str">
        <f>_xlfn.CONCAT(_xlfn.XLOOKUP("[S05_AggregateTotalEmissionsByCRF][74][CRFCategory1]",Submission!$O:$O,Submission!$H:$N,""))</f>
        <v/>
      </c>
      <c r="D142" s="366"/>
      <c r="E142" s="367" t="str">
        <f>_xlfn.CONCAT(_xlfn.XLOOKUP("[S05_AggregateTotalEmissionsByCRF][74][CRFCategory2]",Submission!$O:$O,Submission!$H:$N,""))</f>
        <v/>
      </c>
      <c r="F142" s="368"/>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5" t="str">
        <f>_xlfn.CONCAT(_xlfn.XLOOKUP("[S05_AggregateTotalEmissionsByCRF][75][CRFCategory1]",Submission!$O:$O,Submission!$H:$N,""))</f>
        <v/>
      </c>
      <c r="D143" s="366"/>
      <c r="E143" s="367" t="str">
        <f>_xlfn.CONCAT(_xlfn.XLOOKUP("[S05_AggregateTotalEmissionsByCRF][75][CRFCategory2]",Submission!$O:$O,Submission!$H:$N,""))</f>
        <v/>
      </c>
      <c r="F143" s="368"/>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5" t="str">
        <f>_xlfn.CONCAT(_xlfn.XLOOKUP("[S05_AggregateTotalEmissionsByCRF][76][CRFCategory1]",Submission!$O:$O,Submission!$H:$N,""))</f>
        <v/>
      </c>
      <c r="D144" s="366"/>
      <c r="E144" s="367" t="str">
        <f>_xlfn.CONCAT(_xlfn.XLOOKUP("[S05_AggregateTotalEmissionsByCRF][76][CRFCategory2]",Submission!$O:$O,Submission!$H:$N,""))</f>
        <v/>
      </c>
      <c r="F144" s="368"/>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5" t="str">
        <f>_xlfn.CONCAT(_xlfn.XLOOKUP("[S05_AggregateTotalEmissionsByCRF][77][CRFCategory1]",Submission!$O:$O,Submission!$H:$N,""))</f>
        <v/>
      </c>
      <c r="D145" s="366"/>
      <c r="E145" s="367" t="str">
        <f>_xlfn.CONCAT(_xlfn.XLOOKUP("[S05_AggregateTotalEmissionsByCRF][77][CRFCategory2]",Submission!$O:$O,Submission!$H:$N,""))</f>
        <v/>
      </c>
      <c r="F145" s="368"/>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5" t="str">
        <f>_xlfn.CONCAT(_xlfn.XLOOKUP("[S05_AggregateTotalEmissionsByCRF][78][CRFCategory1]",Submission!$O:$O,Submission!$H:$N,""))</f>
        <v/>
      </c>
      <c r="D146" s="366"/>
      <c r="E146" s="367" t="str">
        <f>_xlfn.CONCAT(_xlfn.XLOOKUP("[S05_AggregateTotalEmissionsByCRF][78][CRFCategory2]",Submission!$O:$O,Submission!$H:$N,""))</f>
        <v/>
      </c>
      <c r="F146" s="368"/>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5" t="str">
        <f>_xlfn.CONCAT(_xlfn.XLOOKUP("[S05_AggregateTotalEmissionsByCRF][79][CRFCategory1]",Submission!$O:$O,Submission!$H:$N,""))</f>
        <v/>
      </c>
      <c r="D147" s="366"/>
      <c r="E147" s="367" t="str">
        <f>_xlfn.CONCAT(_xlfn.XLOOKUP("[S05_AggregateTotalEmissionsByCRF][79][CRFCategory2]",Submission!$O:$O,Submission!$H:$N,""))</f>
        <v/>
      </c>
      <c r="F147" s="368"/>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5" t="str">
        <f>_xlfn.CONCAT(_xlfn.XLOOKUP("[S05_AggregateTotalEmissionsByCRF][80][CRFCategory1]",Submission!$O:$O,Submission!$H:$N,""))</f>
        <v/>
      </c>
      <c r="D148" s="366"/>
      <c r="E148" s="367" t="str">
        <f>_xlfn.CONCAT(_xlfn.XLOOKUP("[S05_AggregateTotalEmissionsByCRF][80][CRFCategory2]",Submission!$O:$O,Submission!$H:$N,""))</f>
        <v/>
      </c>
      <c r="F148" s="368"/>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5" t="str">
        <f>_xlfn.CONCAT(_xlfn.XLOOKUP("[S05_AggregateTotalEmissionsByCRF][81][CRFCategory1]",Submission!$O:$O,Submission!$H:$N,""))</f>
        <v/>
      </c>
      <c r="D149" s="366"/>
      <c r="E149" s="367" t="str">
        <f>_xlfn.CONCAT(_xlfn.XLOOKUP("[S05_AggregateTotalEmissionsByCRF][81][CRFCategory2]",Submission!$O:$O,Submission!$H:$N,""))</f>
        <v/>
      </c>
      <c r="F149" s="368"/>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5" t="str">
        <f>_xlfn.CONCAT(_xlfn.XLOOKUP("[S05_AggregateTotalEmissionsByCRF][82][CRFCategory1]",Submission!$O:$O,Submission!$H:$N,""))</f>
        <v/>
      </c>
      <c r="D150" s="366"/>
      <c r="E150" s="367" t="str">
        <f>_xlfn.CONCAT(_xlfn.XLOOKUP("[S05_AggregateTotalEmissionsByCRF][82][CRFCategory2]",Submission!$O:$O,Submission!$H:$N,""))</f>
        <v/>
      </c>
      <c r="F150" s="368"/>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5" t="str">
        <f>_xlfn.CONCAT(_xlfn.XLOOKUP("[S05_AggregateTotalEmissionsByCRF][83][CRFCategory1]",Submission!$O:$O,Submission!$H:$N,""))</f>
        <v/>
      </c>
      <c r="D151" s="366"/>
      <c r="E151" s="367" t="str">
        <f>_xlfn.CONCAT(_xlfn.XLOOKUP("[S05_AggregateTotalEmissionsByCRF][83][CRFCategory2]",Submission!$O:$O,Submission!$H:$N,""))</f>
        <v/>
      </c>
      <c r="F151" s="368"/>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5" t="str">
        <f>_xlfn.CONCAT(_xlfn.XLOOKUP("[S05_AggregateTotalEmissionsByCRF][84][CRFCategory1]",Submission!$O:$O,Submission!$H:$N,""))</f>
        <v/>
      </c>
      <c r="D152" s="366"/>
      <c r="E152" s="367" t="str">
        <f>_xlfn.CONCAT(_xlfn.XLOOKUP("[S05_AggregateTotalEmissionsByCRF][84][CRFCategory2]",Submission!$O:$O,Submission!$H:$N,""))</f>
        <v/>
      </c>
      <c r="F152" s="368"/>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5" t="str">
        <f>_xlfn.CONCAT(_xlfn.XLOOKUP("[S05_AggregateTotalEmissionsByCRF][85][CRFCategory1]",Submission!$O:$O,Submission!$H:$N,""))</f>
        <v/>
      </c>
      <c r="D153" s="366"/>
      <c r="E153" s="367" t="str">
        <f>_xlfn.CONCAT(_xlfn.XLOOKUP("[S05_AggregateTotalEmissionsByCRF][85][CRFCategory2]",Submission!$O:$O,Submission!$H:$N,""))</f>
        <v/>
      </c>
      <c r="F153" s="368"/>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5" t="str">
        <f>_xlfn.CONCAT(_xlfn.XLOOKUP("[S05_AggregateTotalEmissionsByCRF][86][CRFCategory1]",Submission!$O:$O,Submission!$H:$N,""))</f>
        <v/>
      </c>
      <c r="D154" s="366"/>
      <c r="E154" s="367" t="str">
        <f>_xlfn.CONCAT(_xlfn.XLOOKUP("[S05_AggregateTotalEmissionsByCRF][86][CRFCategory2]",Submission!$O:$O,Submission!$H:$N,""))</f>
        <v/>
      </c>
      <c r="F154" s="368"/>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5" t="str">
        <f>_xlfn.CONCAT(_xlfn.XLOOKUP("[S05_AggregateTotalEmissionsByCRF][87][CRFCategory1]",Submission!$O:$O,Submission!$H:$N,""))</f>
        <v/>
      </c>
      <c r="D155" s="366"/>
      <c r="E155" s="367" t="str">
        <f>_xlfn.CONCAT(_xlfn.XLOOKUP("[S05_AggregateTotalEmissionsByCRF][87][CRFCategory2]",Submission!$O:$O,Submission!$H:$N,""))</f>
        <v/>
      </c>
      <c r="F155" s="368"/>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5" t="str">
        <f>_xlfn.CONCAT(_xlfn.XLOOKUP("[S05_AggregateTotalEmissionsByCRF][88][CRFCategory1]",Submission!$O:$O,Submission!$H:$N,""))</f>
        <v/>
      </c>
      <c r="D156" s="366"/>
      <c r="E156" s="367" t="str">
        <f>_xlfn.CONCAT(_xlfn.XLOOKUP("[S05_AggregateTotalEmissionsByCRF][88][CRFCategory2]",Submission!$O:$O,Submission!$H:$N,""))</f>
        <v/>
      </c>
      <c r="F156" s="368"/>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5" t="str">
        <f>_xlfn.CONCAT(_xlfn.XLOOKUP("[S05_AggregateTotalEmissionsByCRF][89][CRFCategory1]",Submission!$O:$O,Submission!$H:$N,""))</f>
        <v/>
      </c>
      <c r="D157" s="366"/>
      <c r="E157" s="367" t="str">
        <f>_xlfn.CONCAT(_xlfn.XLOOKUP("[S05_AggregateTotalEmissionsByCRF][89][CRFCategory2]",Submission!$O:$O,Submission!$H:$N,""))</f>
        <v/>
      </c>
      <c r="F157" s="368"/>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5" t="str">
        <f>_xlfn.CONCAT(_xlfn.XLOOKUP("[S05_AggregateTotalEmissionsByCRF][90][CRFCategory1]",Submission!$O:$O,Submission!$H:$N,""))</f>
        <v/>
      </c>
      <c r="D158" s="366"/>
      <c r="E158" s="367" t="str">
        <f>_xlfn.CONCAT(_xlfn.XLOOKUP("[S05_AggregateTotalEmissionsByCRF][90][CRFCategory2]",Submission!$O:$O,Submission!$H:$N,""))</f>
        <v/>
      </c>
      <c r="F158" s="368"/>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5" t="str">
        <f>_xlfn.CONCAT(_xlfn.XLOOKUP("[S05_AggregateTotalEmissionsByCRF][91][CRFCategory1]",Submission!$O:$O,Submission!$H:$N,""))</f>
        <v/>
      </c>
      <c r="D159" s="366"/>
      <c r="E159" s="367" t="str">
        <f>_xlfn.CONCAT(_xlfn.XLOOKUP("[S05_AggregateTotalEmissionsByCRF][91][CRFCategory2]",Submission!$O:$O,Submission!$H:$N,""))</f>
        <v/>
      </c>
      <c r="F159" s="368"/>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5" t="str">
        <f>_xlfn.CONCAT(_xlfn.XLOOKUP("[S05_AggregateTotalEmissionsByCRF][92][CRFCategory1]",Submission!$O:$O,Submission!$H:$N,""))</f>
        <v/>
      </c>
      <c r="D160" s="366"/>
      <c r="E160" s="367" t="str">
        <f>_xlfn.CONCAT(_xlfn.XLOOKUP("[S05_AggregateTotalEmissionsByCRF][92][CRFCategory2]",Submission!$O:$O,Submission!$H:$N,""))</f>
        <v/>
      </c>
      <c r="F160" s="368"/>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5" t="str">
        <f>_xlfn.CONCAT(_xlfn.XLOOKUP("[S05_AggregateTotalEmissionsByCRF][93][CRFCategory1]",Submission!$O:$O,Submission!$H:$N,""))</f>
        <v/>
      </c>
      <c r="D161" s="366"/>
      <c r="E161" s="367" t="str">
        <f>_xlfn.CONCAT(_xlfn.XLOOKUP("[S05_AggregateTotalEmissionsByCRF][93][CRFCategory2]",Submission!$O:$O,Submission!$H:$N,""))</f>
        <v/>
      </c>
      <c r="F161" s="368"/>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5" t="str">
        <f>_xlfn.CONCAT(_xlfn.XLOOKUP("[S05_AggregateTotalEmissionsByCRF][94][CRFCategory1]",Submission!$O:$O,Submission!$H:$N,""))</f>
        <v/>
      </c>
      <c r="D162" s="366"/>
      <c r="E162" s="367" t="str">
        <f>_xlfn.CONCAT(_xlfn.XLOOKUP("[S05_AggregateTotalEmissionsByCRF][94][CRFCategory2]",Submission!$O:$O,Submission!$H:$N,""))</f>
        <v/>
      </c>
      <c r="F162" s="368"/>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5" t="str">
        <f>_xlfn.CONCAT(_xlfn.XLOOKUP("[S05_AggregateTotalEmissionsByCRF][95][CRFCategory1]",Submission!$O:$O,Submission!$H:$N,""))</f>
        <v/>
      </c>
      <c r="D163" s="366"/>
      <c r="E163" s="367" t="str">
        <f>_xlfn.CONCAT(_xlfn.XLOOKUP("[S05_AggregateTotalEmissionsByCRF][95][CRFCategory2]",Submission!$O:$O,Submission!$H:$N,""))</f>
        <v/>
      </c>
      <c r="F163" s="368"/>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5" t="str">
        <f>_xlfn.CONCAT(_xlfn.XLOOKUP("[S05_AggregateTotalEmissionsByCRF][96][CRFCategory1]",Submission!$O:$O,Submission!$H:$N,""))</f>
        <v/>
      </c>
      <c r="D164" s="366"/>
      <c r="E164" s="367" t="str">
        <f>_xlfn.CONCAT(_xlfn.XLOOKUP("[S05_AggregateTotalEmissionsByCRF][96][CRFCategory2]",Submission!$O:$O,Submission!$H:$N,""))</f>
        <v/>
      </c>
      <c r="F164" s="368"/>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5" t="str">
        <f>_xlfn.CONCAT(_xlfn.XLOOKUP("[S05_AggregateTotalEmissionsByCRF][97][CRFCategory1]",Submission!$O:$O,Submission!$H:$N,""))</f>
        <v/>
      </c>
      <c r="D165" s="366"/>
      <c r="E165" s="367" t="str">
        <f>_xlfn.CONCAT(_xlfn.XLOOKUP("[S05_AggregateTotalEmissionsByCRF][97][CRFCategory2]",Submission!$O:$O,Submission!$H:$N,""))</f>
        <v/>
      </c>
      <c r="F165" s="368"/>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5" t="str">
        <f>_xlfn.CONCAT(_xlfn.XLOOKUP("[S05_AggregateTotalEmissionsByCRF][98][CRFCategory1]",Submission!$O:$O,Submission!$H:$N,""))</f>
        <v/>
      </c>
      <c r="D166" s="366"/>
      <c r="E166" s="367" t="str">
        <f>_xlfn.CONCAT(_xlfn.XLOOKUP("[S05_AggregateTotalEmissionsByCRF][98][CRFCategory2]",Submission!$O:$O,Submission!$H:$N,""))</f>
        <v/>
      </c>
      <c r="F166" s="368"/>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5" t="str">
        <f>_xlfn.CONCAT(_xlfn.XLOOKUP("[S05_AggregateTotalEmissionsByCRF][99][CRFCategory1]",Submission!$O:$O,Submission!$H:$N,""))</f>
        <v/>
      </c>
      <c r="D167" s="366"/>
      <c r="E167" s="367" t="str">
        <f>_xlfn.CONCAT(_xlfn.XLOOKUP("[S05_AggregateTotalEmissionsByCRF][99][CRFCategory2]",Submission!$O:$O,Submission!$H:$N,""))</f>
        <v/>
      </c>
      <c r="F167" s="368"/>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5" t="str">
        <f>_xlfn.CONCAT(_xlfn.XLOOKUP("[S05_AggregateTotalEmissionsByCRF][100][CRFCategory1]",Submission!$O:$O,Submission!$H:$N,""))</f>
        <v/>
      </c>
      <c r="D168" s="366"/>
      <c r="E168" s="367" t="str">
        <f>_xlfn.CONCAT(_xlfn.XLOOKUP("[S05_AggregateTotalEmissionsByCRF][100][CRFCategory2]",Submission!$O:$O,Submission!$H:$N,""))</f>
        <v/>
      </c>
      <c r="F168" s="368"/>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5" t="str">
        <f>_xlfn.CONCAT(_xlfn.XLOOKUP("[S05_AggregateTotalEmissionsByCRF][101][CRFCategory1]",Submission!$O:$O,Submission!$H:$N,""))</f>
        <v/>
      </c>
      <c r="D169" s="366"/>
      <c r="E169" s="367" t="str">
        <f>_xlfn.CONCAT(_xlfn.XLOOKUP("[S05_AggregateTotalEmissionsByCRF][101][CRFCategory2]",Submission!$O:$O,Submission!$H:$N,""))</f>
        <v/>
      </c>
      <c r="F169" s="368"/>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5" t="str">
        <f>_xlfn.CONCAT(_xlfn.XLOOKUP("[S05_AggregateTotalEmissionsByCRF][102][CRFCategory1]",Submission!$O:$O,Submission!$H:$N,""))</f>
        <v/>
      </c>
      <c r="D170" s="366"/>
      <c r="E170" s="367" t="str">
        <f>_xlfn.CONCAT(_xlfn.XLOOKUP("[S05_AggregateTotalEmissionsByCRF][102][CRFCategory2]",Submission!$O:$O,Submission!$H:$N,""))</f>
        <v/>
      </c>
      <c r="F170" s="368"/>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5" t="str">
        <f>_xlfn.CONCAT(_xlfn.XLOOKUP("[S05_AggregateTotalEmissionsByCRF][103][CRFCategory1]",Submission!$O:$O,Submission!$H:$N,""))</f>
        <v/>
      </c>
      <c r="D171" s="366"/>
      <c r="E171" s="367" t="str">
        <f>_xlfn.CONCAT(_xlfn.XLOOKUP("[S05_AggregateTotalEmissionsByCRF][103][CRFCategory2]",Submission!$O:$O,Submission!$H:$N,""))</f>
        <v/>
      </c>
      <c r="F171" s="368"/>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5" t="str">
        <f>_xlfn.CONCAT(_xlfn.XLOOKUP("[S05_AggregateTotalEmissionsByCRF][104][CRFCategory1]",Submission!$O:$O,Submission!$H:$N,""))</f>
        <v/>
      </c>
      <c r="D172" s="366"/>
      <c r="E172" s="367" t="str">
        <f>_xlfn.CONCAT(_xlfn.XLOOKUP("[S05_AggregateTotalEmissionsByCRF][104][CRFCategory2]",Submission!$O:$O,Submission!$H:$N,""))</f>
        <v/>
      </c>
      <c r="F172" s="368"/>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5" t="str">
        <f>_xlfn.CONCAT(_xlfn.XLOOKUP("[S05_AggregateTotalEmissionsByCRF][105][CRFCategory1]",Submission!$O:$O,Submission!$H:$N,""))</f>
        <v/>
      </c>
      <c r="D173" s="366"/>
      <c r="E173" s="367" t="str">
        <f>_xlfn.CONCAT(_xlfn.XLOOKUP("[S05_AggregateTotalEmissionsByCRF][105][CRFCategory2]",Submission!$O:$O,Submission!$H:$N,""))</f>
        <v/>
      </c>
      <c r="F173" s="368"/>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5" t="str">
        <f>_xlfn.CONCAT(_xlfn.XLOOKUP("[S05_AggregateTotalEmissionsByCRF][106][CRFCategory1]",Submission!$O:$O,Submission!$H:$N,""))</f>
        <v/>
      </c>
      <c r="D174" s="366"/>
      <c r="E174" s="367" t="str">
        <f>_xlfn.CONCAT(_xlfn.XLOOKUP("[S05_AggregateTotalEmissionsByCRF][106][CRFCategory2]",Submission!$O:$O,Submission!$H:$N,""))</f>
        <v/>
      </c>
      <c r="F174" s="368"/>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5" t="str">
        <f>_xlfn.CONCAT(_xlfn.XLOOKUP("[S05_AggregateTotalEmissionsByCRF][107][CRFCategory1]",Submission!$O:$O,Submission!$H:$N,""))</f>
        <v/>
      </c>
      <c r="D175" s="366"/>
      <c r="E175" s="367" t="str">
        <f>_xlfn.CONCAT(_xlfn.XLOOKUP("[S05_AggregateTotalEmissionsByCRF][107][CRFCategory2]",Submission!$O:$O,Submission!$H:$N,""))</f>
        <v/>
      </c>
      <c r="F175" s="368"/>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5" t="str">
        <f>_xlfn.CONCAT(_xlfn.XLOOKUP("[S05_AggregateTotalEmissionsByCRF][108][CRFCategory1]",Submission!$O:$O,Submission!$H:$N,""))</f>
        <v/>
      </c>
      <c r="D176" s="366"/>
      <c r="E176" s="367" t="str">
        <f>_xlfn.CONCAT(_xlfn.XLOOKUP("[S05_AggregateTotalEmissionsByCRF][108][CRFCategory2]",Submission!$O:$O,Submission!$H:$N,""))</f>
        <v/>
      </c>
      <c r="F176" s="368"/>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5" t="str">
        <f>_xlfn.CONCAT(_xlfn.XLOOKUP("[S05_AggregateTotalEmissionsByCRF][109][CRFCategory1]",Submission!$O:$O,Submission!$H:$N,""))</f>
        <v/>
      </c>
      <c r="D177" s="366"/>
      <c r="E177" s="367" t="str">
        <f>_xlfn.CONCAT(_xlfn.XLOOKUP("[S05_AggregateTotalEmissionsByCRF][109][CRFCategory2]",Submission!$O:$O,Submission!$H:$N,""))</f>
        <v/>
      </c>
      <c r="F177" s="368"/>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5" t="str">
        <f>_xlfn.CONCAT(_xlfn.XLOOKUP("[S05_AggregateTotalEmissionsByCRF][110][CRFCategory1]",Submission!$O:$O,Submission!$H:$N,""))</f>
        <v/>
      </c>
      <c r="D178" s="366"/>
      <c r="E178" s="367" t="str">
        <f>_xlfn.CONCAT(_xlfn.XLOOKUP("[S05_AggregateTotalEmissionsByCRF][110][CRFCategory2]",Submission!$O:$O,Submission!$H:$N,""))</f>
        <v/>
      </c>
      <c r="F178" s="368"/>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5" t="str">
        <f>_xlfn.CONCAT(_xlfn.XLOOKUP("[S05_AggregateTotalEmissionsByCRF][111][CRFCategory1]",Submission!$O:$O,Submission!$H:$N,""))</f>
        <v/>
      </c>
      <c r="D179" s="366"/>
      <c r="E179" s="367" t="str">
        <f>_xlfn.CONCAT(_xlfn.XLOOKUP("[S05_AggregateTotalEmissionsByCRF][111][CRFCategory2]",Submission!$O:$O,Submission!$H:$N,""))</f>
        <v/>
      </c>
      <c r="F179" s="368"/>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5" t="str">
        <f>_xlfn.CONCAT(_xlfn.XLOOKUP("[S05_AggregateTotalEmissionsByCRF][112][CRFCategory1]",Submission!$O:$O,Submission!$H:$N,""))</f>
        <v/>
      </c>
      <c r="D180" s="366"/>
      <c r="E180" s="367" t="str">
        <f>_xlfn.CONCAT(_xlfn.XLOOKUP("[S05_AggregateTotalEmissionsByCRF][112][CRFCategory2]",Submission!$O:$O,Submission!$H:$N,""))</f>
        <v/>
      </c>
      <c r="F180" s="368"/>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5" t="str">
        <f>_xlfn.CONCAT(_xlfn.XLOOKUP("[S05_AggregateTotalEmissionsByCRF][113][CRFCategory1]",Submission!$O:$O,Submission!$H:$N,""))</f>
        <v/>
      </c>
      <c r="D181" s="366"/>
      <c r="E181" s="367" t="str">
        <f>_xlfn.CONCAT(_xlfn.XLOOKUP("[S05_AggregateTotalEmissionsByCRF][113][CRFCategory2]",Submission!$O:$O,Submission!$H:$N,""))</f>
        <v/>
      </c>
      <c r="F181" s="368"/>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5" t="str">
        <f>_xlfn.CONCAT(_xlfn.XLOOKUP("[S05_AggregateTotalEmissionsByCRF][114][CRFCategory1]",Submission!$O:$O,Submission!$H:$N,""))</f>
        <v/>
      </c>
      <c r="D182" s="366"/>
      <c r="E182" s="367" t="str">
        <f>_xlfn.CONCAT(_xlfn.XLOOKUP("[S05_AggregateTotalEmissionsByCRF][114][CRFCategory2]",Submission!$O:$O,Submission!$H:$N,""))</f>
        <v/>
      </c>
      <c r="F182" s="368"/>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5" t="str">
        <f>_xlfn.CONCAT(_xlfn.XLOOKUP("[S05_AggregateTotalEmissionsByCRF][115][CRFCategory1]",Submission!$O:$O,Submission!$H:$N,""))</f>
        <v/>
      </c>
      <c r="D183" s="366"/>
      <c r="E183" s="367" t="str">
        <f>_xlfn.CONCAT(_xlfn.XLOOKUP("[S05_AggregateTotalEmissionsByCRF][115][CRFCategory2]",Submission!$O:$O,Submission!$H:$N,""))</f>
        <v/>
      </c>
      <c r="F183" s="368"/>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5" t="str">
        <f>_xlfn.CONCAT(_xlfn.XLOOKUP("[S05_AggregateTotalEmissionsByCRF][116][CRFCategory1]",Submission!$O:$O,Submission!$H:$N,""))</f>
        <v/>
      </c>
      <c r="D184" s="366"/>
      <c r="E184" s="367" t="str">
        <f>_xlfn.CONCAT(_xlfn.XLOOKUP("[S05_AggregateTotalEmissionsByCRF][116][CRFCategory2]",Submission!$O:$O,Submission!$H:$N,""))</f>
        <v/>
      </c>
      <c r="F184" s="368"/>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5" t="str">
        <f>_xlfn.CONCAT(_xlfn.XLOOKUP("[S05_AggregateTotalEmissionsByCRF][117][CRFCategory1]",Submission!$O:$O,Submission!$H:$N,""))</f>
        <v/>
      </c>
      <c r="D185" s="366"/>
      <c r="E185" s="367" t="str">
        <f>_xlfn.CONCAT(_xlfn.XLOOKUP("[S05_AggregateTotalEmissionsByCRF][117][CRFCategory2]",Submission!$O:$O,Submission!$H:$N,""))</f>
        <v/>
      </c>
      <c r="F185" s="368"/>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5" t="str">
        <f>_xlfn.CONCAT(_xlfn.XLOOKUP("[S05_AggregateTotalEmissionsByCRF][118][CRFCategory1]",Submission!$O:$O,Submission!$H:$N,""))</f>
        <v/>
      </c>
      <c r="D186" s="366"/>
      <c r="E186" s="367" t="str">
        <f>_xlfn.CONCAT(_xlfn.XLOOKUP("[S05_AggregateTotalEmissionsByCRF][118][CRFCategory2]",Submission!$O:$O,Submission!$H:$N,""))</f>
        <v/>
      </c>
      <c r="F186" s="368"/>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5" t="str">
        <f>_xlfn.CONCAT(_xlfn.XLOOKUP("[S05_AggregateTotalEmissionsByCRF][119][CRFCategory1]",Submission!$O:$O,Submission!$H:$N,""))</f>
        <v/>
      </c>
      <c r="D187" s="366"/>
      <c r="E187" s="367" t="str">
        <f>_xlfn.CONCAT(_xlfn.XLOOKUP("[S05_AggregateTotalEmissionsByCRF][119][CRFCategory2]",Submission!$O:$O,Submission!$H:$N,""))</f>
        <v/>
      </c>
      <c r="F187" s="368"/>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5" t="str">
        <f>_xlfn.CONCAT(_xlfn.XLOOKUP("[S05_AggregateTotalEmissionsByCRF][120][CRFCategory1]",Submission!$O:$O,Submission!$H:$N,""))</f>
        <v/>
      </c>
      <c r="D188" s="366"/>
      <c r="E188" s="367" t="str">
        <f>_xlfn.CONCAT(_xlfn.XLOOKUP("[S05_AggregateTotalEmissionsByCRF][120][CRFCategory2]",Submission!$O:$O,Submission!$H:$N,""))</f>
        <v/>
      </c>
      <c r="F188" s="368"/>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5" t="str">
        <f>_xlfn.CONCAT(_xlfn.XLOOKUP("[S05_AggregateTotalEmissionsByCRF][121][CRFCategory1]",Submission!$O:$O,Submission!$H:$N,""))</f>
        <v/>
      </c>
      <c r="D189" s="366"/>
      <c r="E189" s="367" t="str">
        <f>_xlfn.CONCAT(_xlfn.XLOOKUP("[S05_AggregateTotalEmissionsByCRF][121][CRFCategory2]",Submission!$O:$O,Submission!$H:$N,""))</f>
        <v/>
      </c>
      <c r="F189" s="368"/>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5" t="str">
        <f>_xlfn.CONCAT(_xlfn.XLOOKUP("[S05_AggregateTotalEmissionsByCRF][122][CRFCategory1]",Submission!$O:$O,Submission!$H:$N,""))</f>
        <v/>
      </c>
      <c r="D190" s="366"/>
      <c r="E190" s="367" t="str">
        <f>_xlfn.CONCAT(_xlfn.XLOOKUP("[S05_AggregateTotalEmissionsByCRF][122][CRFCategory2]",Submission!$O:$O,Submission!$H:$N,""))</f>
        <v/>
      </c>
      <c r="F190" s="368"/>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5" t="str">
        <f>_xlfn.CONCAT(_xlfn.XLOOKUP("[S05_AggregateTotalEmissionsByCRF][123][CRFCategory1]",Submission!$O:$O,Submission!$H:$N,""))</f>
        <v/>
      </c>
      <c r="D191" s="366"/>
      <c r="E191" s="367" t="str">
        <f>_xlfn.CONCAT(_xlfn.XLOOKUP("[S05_AggregateTotalEmissionsByCRF][123][CRFCategory2]",Submission!$O:$O,Submission!$H:$N,""))</f>
        <v/>
      </c>
      <c r="F191" s="368"/>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5" t="str">
        <f>_xlfn.CONCAT(_xlfn.XLOOKUP("[S05_AggregateTotalEmissionsByCRF][124][CRFCategory1]",Submission!$O:$O,Submission!$H:$N,""))</f>
        <v/>
      </c>
      <c r="D192" s="366"/>
      <c r="E192" s="367" t="str">
        <f>_xlfn.CONCAT(_xlfn.XLOOKUP("[S05_AggregateTotalEmissionsByCRF][124][CRFCategory2]",Submission!$O:$O,Submission!$H:$N,""))</f>
        <v/>
      </c>
      <c r="F192" s="368"/>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5" t="str">
        <f>_xlfn.CONCAT(_xlfn.XLOOKUP("[S05_AggregateTotalEmissionsByCRF][125][CRFCategory1]",Submission!$O:$O,Submission!$H:$N,""))</f>
        <v/>
      </c>
      <c r="D193" s="366"/>
      <c r="E193" s="367" t="str">
        <f>_xlfn.CONCAT(_xlfn.XLOOKUP("[S05_AggregateTotalEmissionsByCRF][125][CRFCategory2]",Submission!$O:$O,Submission!$H:$N,""))</f>
        <v/>
      </c>
      <c r="F193" s="368"/>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5" t="str">
        <f>_xlfn.CONCAT(_xlfn.XLOOKUP("[S05_AggregateTotalEmissionsByCRF][126][CRFCategory1]",Submission!$O:$O,Submission!$H:$N,""))</f>
        <v/>
      </c>
      <c r="D194" s="366"/>
      <c r="E194" s="367" t="str">
        <f>_xlfn.CONCAT(_xlfn.XLOOKUP("[S05_AggregateTotalEmissionsByCRF][126][CRFCategory2]",Submission!$O:$O,Submission!$H:$N,""))</f>
        <v/>
      </c>
      <c r="F194" s="368"/>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5" t="str">
        <f>_xlfn.CONCAT(_xlfn.XLOOKUP("[S05_AggregateTotalEmissionsByCRF][127][CRFCategory1]",Submission!$O:$O,Submission!$H:$N,""))</f>
        <v/>
      </c>
      <c r="D195" s="366"/>
      <c r="E195" s="367" t="str">
        <f>_xlfn.CONCAT(_xlfn.XLOOKUP("[S05_AggregateTotalEmissionsByCRF][127][CRFCategory2]",Submission!$O:$O,Submission!$H:$N,""))</f>
        <v/>
      </c>
      <c r="F195" s="368"/>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5" t="str">
        <f>_xlfn.CONCAT(_xlfn.XLOOKUP("[S05_AggregateTotalEmissionsByCRF][128][CRFCategory1]",Submission!$O:$O,Submission!$H:$N,""))</f>
        <v/>
      </c>
      <c r="D196" s="366"/>
      <c r="E196" s="367" t="str">
        <f>_xlfn.CONCAT(_xlfn.XLOOKUP("[S05_AggregateTotalEmissionsByCRF][128][CRFCategory2]",Submission!$O:$O,Submission!$H:$N,""))</f>
        <v/>
      </c>
      <c r="F196" s="368"/>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5" t="str">
        <f>_xlfn.CONCAT(_xlfn.XLOOKUP("[S05_AggregateTotalEmissionsByCRF][129][CRFCategory1]",Submission!$O:$O,Submission!$H:$N,""))</f>
        <v/>
      </c>
      <c r="D197" s="366"/>
      <c r="E197" s="367" t="str">
        <f>_xlfn.CONCAT(_xlfn.XLOOKUP("[S05_AggregateTotalEmissionsByCRF][129][CRFCategory2]",Submission!$O:$O,Submission!$H:$N,""))</f>
        <v/>
      </c>
      <c r="F197" s="368"/>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5" t="str">
        <f>_xlfn.CONCAT(_xlfn.XLOOKUP("[S05_AggregateTotalEmissionsByCRF][130][CRFCategory1]",Submission!$O:$O,Submission!$H:$N,""))</f>
        <v/>
      </c>
      <c r="D198" s="366"/>
      <c r="E198" s="367" t="str">
        <f>_xlfn.CONCAT(_xlfn.XLOOKUP("[S05_AggregateTotalEmissionsByCRF][130][CRFCategory2]",Submission!$O:$O,Submission!$H:$N,""))</f>
        <v/>
      </c>
      <c r="F198" s="368"/>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5" t="s">
        <v>858</v>
      </c>
      <c r="C201" s="276"/>
      <c r="D201" s="276"/>
      <c r="E201" s="276"/>
      <c r="F201" s="276"/>
      <c r="G201" s="276"/>
      <c r="H201" s="276"/>
      <c r="I201" s="276"/>
    </row>
    <row r="202" spans="1:9" ht="30" customHeight="1" x14ac:dyDescent="0.3">
      <c r="A202" s="13"/>
      <c r="B202" s="34"/>
      <c r="C202" s="415" t="s">
        <v>859</v>
      </c>
      <c r="D202" s="416"/>
      <c r="E202" s="416"/>
      <c r="F202" s="416"/>
      <c r="G202" s="417"/>
      <c r="H202" s="45" t="s">
        <v>860</v>
      </c>
      <c r="I202" s="42" t="s">
        <v>861</v>
      </c>
    </row>
    <row r="203" spans="1:9" ht="15.9" customHeight="1" x14ac:dyDescent="0.3">
      <c r="A203" s="13"/>
      <c r="B203" s="34"/>
      <c r="C203" s="274" t="str">
        <f>_xlfn.CONCAT(_xlfn.XLOOKUP("[S05_DefaultValues][1][InstallationCategory]",Submission!$O:$O,Submission!$H:$N,""))</f>
        <v>Category A installation</v>
      </c>
      <c r="D203" s="414"/>
      <c r="E203" s="414"/>
      <c r="F203" s="414"/>
      <c r="G203" s="364"/>
      <c r="H203" s="123" t="str">
        <f>_xlfn.CONCAT(_xlfn.XLOOKUP("[S05_DefaultValues][1][FuelMaterialType]",Submission!$O:$O,Submission!$H:$N,""))</f>
        <v>Biomass (solid) - NCV</v>
      </c>
      <c r="I203" s="106" t="str">
        <f>_xlfn.CONCAT(_xlfn.XLOOKUP("[S05_DefaultValues][1][InstallationNumber]",Submission!$O:$O,Submission!$H:$N,""))</f>
        <v>12</v>
      </c>
    </row>
    <row r="204" spans="1:9" ht="15.9" customHeight="1" x14ac:dyDescent="0.3">
      <c r="A204" s="13"/>
      <c r="B204" s="34"/>
      <c r="C204" s="274" t="str">
        <f>_xlfn.CONCAT(_xlfn.XLOOKUP("[S05_DefaultValues][2][InstallationCategory]",Submission!$O:$O,Submission!$H:$N,""))</f>
        <v>Installation with low emissions</v>
      </c>
      <c r="D204" s="414"/>
      <c r="E204" s="414"/>
      <c r="F204" s="414"/>
      <c r="G204" s="364"/>
      <c r="H204" s="123" t="str">
        <f>_xlfn.CONCAT(_xlfn.XLOOKUP("[S05_DefaultValues][2][FuelMaterialType]",Submission!$O:$O,Submission!$H:$N,""))</f>
        <v>Biomass (solid) - NCV</v>
      </c>
      <c r="I204" s="106" t="str">
        <f>_xlfn.CONCAT(_xlfn.XLOOKUP("[S05_DefaultValues][2][InstallationNumber]",Submission!$O:$O,Submission!$H:$N,""))</f>
        <v>3</v>
      </c>
    </row>
    <row r="205" spans="1:9" ht="15.9" customHeight="1" x14ac:dyDescent="0.3">
      <c r="A205" s="13"/>
      <c r="B205" s="34"/>
      <c r="C205" s="274" t="str">
        <f>_xlfn.CONCAT(_xlfn.XLOOKUP("[S05_DefaultValues][3][InstallationCategory]",Submission!$O:$O,Submission!$H:$N,""))</f>
        <v>Category B installation</v>
      </c>
      <c r="D205" s="414"/>
      <c r="E205" s="414"/>
      <c r="F205" s="414"/>
      <c r="G205" s="364"/>
      <c r="H205" s="123" t="str">
        <f>_xlfn.CONCAT(_xlfn.XLOOKUP("[S05_DefaultValues][3][FuelMaterialType]",Submission!$O:$O,Submission!$H:$N,""))</f>
        <v>Biomass (solid) - NCV</v>
      </c>
      <c r="I205" s="106" t="str">
        <f>_xlfn.CONCAT(_xlfn.XLOOKUP("[S05_DefaultValues][3][InstallationNumber]",Submission!$O:$O,Submission!$H:$N,""))</f>
        <v>2</v>
      </c>
    </row>
    <row r="206" spans="1:9" ht="15.9" customHeight="1" x14ac:dyDescent="0.3">
      <c r="A206" s="13"/>
      <c r="B206" s="34"/>
      <c r="C206" s="274" t="str">
        <f>_xlfn.CONCAT(_xlfn.XLOOKUP("[S05_DefaultValues][4][InstallationCategory]",Submission!$O:$O,Submission!$H:$N,""))</f>
        <v>Category C installation</v>
      </c>
      <c r="D206" s="414"/>
      <c r="E206" s="414"/>
      <c r="F206" s="414"/>
      <c r="G206" s="364"/>
      <c r="H206" s="123" t="str">
        <f>_xlfn.CONCAT(_xlfn.XLOOKUP("[S05_DefaultValues][4][FuelMaterialType]",Submission!$O:$O,Submission!$H:$N,""))</f>
        <v>Biomass (solid) - NCV</v>
      </c>
      <c r="I206" s="106" t="str">
        <f>_xlfn.CONCAT(_xlfn.XLOOKUP("[S05_DefaultValues][4][InstallationNumber]",Submission!$O:$O,Submission!$H:$N,""))</f>
        <v>1</v>
      </c>
    </row>
    <row r="207" spans="1:9" ht="15.9" customHeight="1" x14ac:dyDescent="0.3">
      <c r="A207" s="13"/>
      <c r="B207" s="34"/>
      <c r="C207" s="274" t="str">
        <f>_xlfn.CONCAT(_xlfn.XLOOKUP("[S05_DefaultValues][5][InstallationCategory]",Submission!$O:$O,Submission!$H:$N,""))</f>
        <v>Installation with low emissions</v>
      </c>
      <c r="D207" s="414"/>
      <c r="E207" s="414"/>
      <c r="F207" s="414"/>
      <c r="G207" s="364"/>
      <c r="H207" s="123" t="str">
        <f>_xlfn.CONCAT(_xlfn.XLOOKUP("[S05_DefaultValues][5][FuelMaterialType]",Submission!$O:$O,Submission!$H:$N,""))</f>
        <v>Biogas (NCV)</v>
      </c>
      <c r="I207" s="106" t="str">
        <f>_xlfn.CONCAT(_xlfn.XLOOKUP("[S05_DefaultValues][5][InstallationNumber]",Submission!$O:$O,Submission!$H:$N,""))</f>
        <v>1</v>
      </c>
    </row>
    <row r="208" spans="1:9" ht="15.9" customHeight="1" x14ac:dyDescent="0.3">
      <c r="A208" s="13"/>
      <c r="B208" s="34"/>
      <c r="C208" s="274" t="str">
        <f>_xlfn.CONCAT(_xlfn.XLOOKUP("[S05_DefaultValues][6][InstallationCategory]",Submission!$O:$O,Submission!$H:$N,""))</f>
        <v>Category B installation</v>
      </c>
      <c r="D208" s="414"/>
      <c r="E208" s="414"/>
      <c r="F208" s="414"/>
      <c r="G208" s="364"/>
      <c r="H208" s="123" t="str">
        <f>_xlfn.CONCAT(_xlfn.XLOOKUP("[S05_DefaultValues][6][FuelMaterialType]",Submission!$O:$O,Submission!$H:$N,""))</f>
        <v>Biogas (EF)</v>
      </c>
      <c r="I208" s="106" t="str">
        <f>_xlfn.CONCAT(_xlfn.XLOOKUP("[S05_DefaultValues][6][InstallationNumber]",Submission!$O:$O,Submission!$H:$N,""))</f>
        <v>1</v>
      </c>
    </row>
    <row r="209" spans="1:9" ht="15.9" customHeight="1" x14ac:dyDescent="0.3">
      <c r="A209" s="13"/>
      <c r="B209" s="34"/>
      <c r="C209" s="274" t="str">
        <f>_xlfn.CONCAT(_xlfn.XLOOKUP("[S05_DefaultValues][7][InstallationCategory]",Submission!$O:$O,Submission!$H:$N,""))</f>
        <v>Installation with low emissions</v>
      </c>
      <c r="D209" s="414"/>
      <c r="E209" s="414"/>
      <c r="F209" s="414"/>
      <c r="G209" s="364"/>
      <c r="H209" s="123" t="str">
        <f>_xlfn.CONCAT(_xlfn.XLOOKUP("[S05_DefaultValues][7][FuelMaterialType]",Submission!$O:$O,Submission!$H:$N,""))</f>
        <v>Biomas (liquid) - NCV</v>
      </c>
      <c r="I209" s="106" t="str">
        <f>_xlfn.CONCAT(_xlfn.XLOOKUP("[S05_DefaultValues][7][InstallationNumber]",Submission!$O:$O,Submission!$H:$N,""))</f>
        <v>1</v>
      </c>
    </row>
    <row r="210" spans="1:9" ht="15.9" customHeight="1" x14ac:dyDescent="0.3">
      <c r="A210" s="13"/>
      <c r="B210" s="34"/>
      <c r="C210" s="274" t="str">
        <f>_xlfn.CONCAT(_xlfn.XLOOKUP("[S05_DefaultValues][8][InstallationCategory]",Submission!$O:$O,Submission!$H:$N,""))</f>
        <v>Category C installation</v>
      </c>
      <c r="D210" s="414"/>
      <c r="E210" s="414"/>
      <c r="F210" s="414"/>
      <c r="G210" s="364"/>
      <c r="H210" s="123" t="str">
        <f>_xlfn.CONCAT(_xlfn.XLOOKUP("[S05_DefaultValues][8][FuelMaterialType]",Submission!$O:$O,Submission!$H:$N,""))</f>
        <v>Old Tires (NCV+EF)</v>
      </c>
      <c r="I210" s="106" t="str">
        <f>_xlfn.CONCAT(_xlfn.XLOOKUP("[S05_DefaultValues][8][InstallationNumber]",Submission!$O:$O,Submission!$H:$N,""))</f>
        <v>1</v>
      </c>
    </row>
    <row r="211" spans="1:9" ht="15.9" customHeight="1" x14ac:dyDescent="0.3">
      <c r="A211" s="13"/>
      <c r="B211" s="34"/>
      <c r="C211" s="274" t="str">
        <f>_xlfn.CONCAT(_xlfn.XLOOKUP("[S05_DefaultValues][9][InstallationCategory]",Submission!$O:$O,Submission!$H:$N,""))</f>
        <v>Installation with low emissions</v>
      </c>
      <c r="D211" s="414"/>
      <c r="E211" s="414"/>
      <c r="F211" s="414"/>
      <c r="G211" s="364"/>
      <c r="H211" s="123" t="str">
        <f>_xlfn.CONCAT(_xlfn.XLOOKUP("[S05_DefaultValues][9][FuelMaterialType]",Submission!$O:$O,Submission!$H:$N,""))</f>
        <v>Antracit (NCV+EF)</v>
      </c>
      <c r="I211" s="106" t="str">
        <f>_xlfn.CONCAT(_xlfn.XLOOKUP("[S05_DefaultValues][9][InstallationNumber]",Submission!$O:$O,Submission!$H:$N,""))</f>
        <v>2</v>
      </c>
    </row>
    <row r="212" spans="1:9" ht="15.9" customHeight="1" x14ac:dyDescent="0.3">
      <c r="A212" s="13"/>
      <c r="B212" s="34"/>
      <c r="C212" s="274" t="str">
        <f>_xlfn.CONCAT(_xlfn.XLOOKUP("[S05_DefaultValues][10][InstallationCategory]",Submission!$O:$O,Submission!$H:$N,""))</f>
        <v>Category B installation</v>
      </c>
      <c r="D212" s="414"/>
      <c r="E212" s="414"/>
      <c r="F212" s="414"/>
      <c r="G212" s="364"/>
      <c r="H212" s="123" t="str">
        <f>_xlfn.CONCAT(_xlfn.XLOOKUP("[S05_DefaultValues][10][FuelMaterialType]",Submission!$O:$O,Submission!$H:$N,""))</f>
        <v>Antracit (NCV+EF)</v>
      </c>
      <c r="I212" s="106" t="str">
        <f>_xlfn.CONCAT(_xlfn.XLOOKUP("[S05_DefaultValues][10][InstallationNumber]",Submission!$O:$O,Submission!$H:$N,""))</f>
        <v>2</v>
      </c>
    </row>
    <row r="213" spans="1:9" ht="15.9" customHeight="1" x14ac:dyDescent="0.3">
      <c r="A213" s="13"/>
      <c r="B213" s="34"/>
      <c r="C213" s="274" t="str">
        <f>_xlfn.CONCAT(_xlfn.XLOOKUP("[S05_DefaultValues][11][InstallationCategory]",Submission!$O:$O,Submission!$H:$N,""))</f>
        <v>Category B installation</v>
      </c>
      <c r="D213" s="414"/>
      <c r="E213" s="414"/>
      <c r="F213" s="414"/>
      <c r="G213" s="364"/>
      <c r="H213" s="123" t="str">
        <f>_xlfn.CONCAT(_xlfn.XLOOKUP("[S05_DefaultValues][11][FuelMaterialType]",Submission!$O:$O,Submission!$H:$N,""))</f>
        <v>Coke (NCV+EF)</v>
      </c>
      <c r="I213" s="106" t="str">
        <f>_xlfn.CONCAT(_xlfn.XLOOKUP("[S05_DefaultValues][11][InstallationNumber]",Submission!$O:$O,Submission!$H:$N,""))</f>
        <v>2</v>
      </c>
    </row>
    <row r="214" spans="1:9" ht="15.9" customHeight="1" x14ac:dyDescent="0.3">
      <c r="A214" s="13"/>
      <c r="B214" s="34"/>
      <c r="C214" s="274" t="str">
        <f>_xlfn.CONCAT(_xlfn.XLOOKUP("[S05_DefaultValues][12][InstallationCategory]",Submission!$O:$O,Submission!$H:$N,""))</f>
        <v>Installation with low emissions</v>
      </c>
      <c r="D214" s="414"/>
      <c r="E214" s="414"/>
      <c r="F214" s="414"/>
      <c r="G214" s="364"/>
      <c r="H214" s="123" t="str">
        <f>_xlfn.CONCAT(_xlfn.XLOOKUP("[S05_DefaultValues][12][FuelMaterialType]",Submission!$O:$O,Submission!$H:$N,""))</f>
        <v>Light Fuel Oil (NCV+EF)</v>
      </c>
      <c r="I214" s="106" t="str">
        <f>_xlfn.CONCAT(_xlfn.XLOOKUP("[S05_DefaultValues][12][InstallationNumber]",Submission!$O:$O,Submission!$H:$N,""))</f>
        <v>34</v>
      </c>
    </row>
    <row r="215" spans="1:9" ht="15.9" customHeight="1" x14ac:dyDescent="0.3">
      <c r="A215" s="13"/>
      <c r="B215" s="34"/>
      <c r="C215" s="274" t="str">
        <f>_xlfn.CONCAT(_xlfn.XLOOKUP("[S05_DefaultValues][13][InstallationCategory]",Submission!$O:$O,Submission!$H:$N,""))</f>
        <v>Category A installation</v>
      </c>
      <c r="D215" s="414"/>
      <c r="E215" s="414"/>
      <c r="F215" s="414"/>
      <c r="G215" s="364"/>
      <c r="H215" s="123" t="str">
        <f>_xlfn.CONCAT(_xlfn.XLOOKUP("[S05_DefaultValues][13][FuelMaterialType]",Submission!$O:$O,Submission!$H:$N,""))</f>
        <v>Light Fuel Oil (NCV+EF)</v>
      </c>
      <c r="I215" s="106" t="str">
        <f>_xlfn.CONCAT(_xlfn.XLOOKUP("[S05_DefaultValues][13][InstallationNumber]",Submission!$O:$O,Submission!$H:$N,""))</f>
        <v>9</v>
      </c>
    </row>
    <row r="216" spans="1:9" ht="15.9" customHeight="1" x14ac:dyDescent="0.3">
      <c r="A216" s="13"/>
      <c r="B216" s="34"/>
      <c r="C216" s="274" t="str">
        <f>_xlfn.CONCAT(_xlfn.XLOOKUP("[S05_DefaultValues][14][InstallationCategory]",Submission!$O:$O,Submission!$H:$N,""))</f>
        <v>Installation with low emissions</v>
      </c>
      <c r="D216" s="414"/>
      <c r="E216" s="414"/>
      <c r="F216" s="414"/>
      <c r="G216" s="364"/>
      <c r="H216" s="123" t="str">
        <f>_xlfn.CONCAT(_xlfn.XLOOKUP("[S05_DefaultValues][14][FuelMaterialType]",Submission!$O:$O,Submission!$H:$N,""))</f>
        <v>Light Fuel Oil (EF)</v>
      </c>
      <c r="I216" s="106" t="str">
        <f>_xlfn.CONCAT(_xlfn.XLOOKUP("[S05_DefaultValues][14][InstallationNumber]",Submission!$O:$O,Submission!$H:$N,""))</f>
        <v>2</v>
      </c>
    </row>
    <row r="217" spans="1:9" ht="15.9" customHeight="1" x14ac:dyDescent="0.3">
      <c r="A217" s="13"/>
      <c r="B217" s="34"/>
      <c r="C217" s="274" t="str">
        <f>_xlfn.CONCAT(_xlfn.XLOOKUP("[S05_DefaultValues][15][InstallationCategory]",Submission!$O:$O,Submission!$H:$N,""))</f>
        <v>Category B installation</v>
      </c>
      <c r="D217" s="414"/>
      <c r="E217" s="414"/>
      <c r="F217" s="414"/>
      <c r="G217" s="364"/>
      <c r="H217" s="123" t="str">
        <f>_xlfn.CONCAT(_xlfn.XLOOKUP("[S05_DefaultValues][15][FuelMaterialType]",Submission!$O:$O,Submission!$H:$N,""))</f>
        <v>Light Fuel Oil (NCV+EF)</v>
      </c>
      <c r="I217" s="106" t="str">
        <f>_xlfn.CONCAT(_xlfn.XLOOKUP("[S05_DefaultValues][15][InstallationNumber]",Submission!$O:$O,Submission!$H:$N,""))</f>
        <v>11</v>
      </c>
    </row>
    <row r="218" spans="1:9" ht="15.9" customHeight="1" x14ac:dyDescent="0.3">
      <c r="A218" s="13"/>
      <c r="B218" s="34"/>
      <c r="C218" s="274" t="str">
        <f>_xlfn.CONCAT(_xlfn.XLOOKUP("[S05_DefaultValues][16][InstallationCategory]",Submission!$O:$O,Submission!$H:$N,""))</f>
        <v>Category B installation</v>
      </c>
      <c r="D218" s="414"/>
      <c r="E218" s="414"/>
      <c r="F218" s="414"/>
      <c r="G218" s="364"/>
      <c r="H218" s="123" t="str">
        <f>_xlfn.CONCAT(_xlfn.XLOOKUP("[S05_DefaultValues][16][FuelMaterialType]",Submission!$O:$O,Submission!$H:$N,""))</f>
        <v>Light Fuel Oil (EF)</v>
      </c>
      <c r="I218" s="106" t="str">
        <f>_xlfn.CONCAT(_xlfn.XLOOKUP("[S05_DefaultValues][16][InstallationNumber]",Submission!$O:$O,Submission!$H:$N,""))</f>
        <v>1</v>
      </c>
    </row>
    <row r="219" spans="1:9" ht="15.9" customHeight="1" x14ac:dyDescent="0.3">
      <c r="A219" s="13"/>
      <c r="B219" s="34"/>
      <c r="C219" s="274" t="str">
        <f>_xlfn.CONCAT(_xlfn.XLOOKUP("[S05_DefaultValues][17][InstallationCategory]",Submission!$O:$O,Submission!$H:$N,""))</f>
        <v>Category C installation</v>
      </c>
      <c r="D219" s="414"/>
      <c r="E219" s="414"/>
      <c r="F219" s="414"/>
      <c r="G219" s="364"/>
      <c r="H219" s="123" t="str">
        <f>_xlfn.CONCAT(_xlfn.XLOOKUP("[S05_DefaultValues][17][FuelMaterialType]",Submission!$O:$O,Submission!$H:$N,""))</f>
        <v>Light Fuel Oil (NCV+EF)</v>
      </c>
      <c r="I219" s="106" t="str">
        <f>_xlfn.CONCAT(_xlfn.XLOOKUP("[S05_DefaultValues][17][InstallationNumber]",Submission!$O:$O,Submission!$H:$N,""))</f>
        <v>5</v>
      </c>
    </row>
    <row r="220" spans="1:9" ht="15.9" customHeight="1" x14ac:dyDescent="0.3">
      <c r="A220" s="13"/>
      <c r="B220" s="34"/>
      <c r="C220" s="274" t="str">
        <f>_xlfn.CONCAT(_xlfn.XLOOKUP("[S05_DefaultValues][18][InstallationCategory]",Submission!$O:$O,Submission!$H:$N,""))</f>
        <v>Installation with low emissions</v>
      </c>
      <c r="D220" s="414"/>
      <c r="E220" s="414"/>
      <c r="F220" s="414"/>
      <c r="G220" s="364"/>
      <c r="H220" s="123" t="str">
        <f>_xlfn.CONCAT(_xlfn.XLOOKUP("[S05_DefaultValues][18][FuelMaterialType]",Submission!$O:$O,Submission!$H:$N,""))</f>
        <v>Off-gas (NCV+EF)</v>
      </c>
      <c r="I220" s="106" t="str">
        <f>_xlfn.CONCAT(_xlfn.XLOOKUP("[S05_DefaultValues][18][InstallationNumber]",Submission!$O:$O,Submission!$H:$N,""))</f>
        <v>2</v>
      </c>
    </row>
    <row r="221" spans="1:9" ht="15.9" customHeight="1" x14ac:dyDescent="0.3">
      <c r="A221" s="13"/>
      <c r="B221" s="34"/>
      <c r="C221" s="274" t="str">
        <f>_xlfn.CONCAT(_xlfn.XLOOKUP("[S05_DefaultValues][19][InstallationCategory]",Submission!$O:$O,Submission!$H:$N,""))</f>
        <v>Category A installation</v>
      </c>
      <c r="D221" s="414"/>
      <c r="E221" s="414"/>
      <c r="F221" s="414"/>
      <c r="G221" s="364"/>
      <c r="H221" s="123" t="str">
        <f>_xlfn.CONCAT(_xlfn.XLOOKUP("[S05_DefaultValues][19][FuelMaterialType]",Submission!$O:$O,Submission!$H:$N,""))</f>
        <v>Off-gas (NCV+EF)</v>
      </c>
      <c r="I221" s="106" t="str">
        <f>_xlfn.CONCAT(_xlfn.XLOOKUP("[S05_DefaultValues][19][InstallationNumber]",Submission!$O:$O,Submission!$H:$N,""))</f>
        <v>1</v>
      </c>
    </row>
    <row r="222" spans="1:9" ht="15.9" customHeight="1" x14ac:dyDescent="0.3">
      <c r="A222" s="13"/>
      <c r="B222" s="34"/>
      <c r="C222" s="274" t="str">
        <f>_xlfn.CONCAT(_xlfn.XLOOKUP("[S05_DefaultValues][20][InstallationCategory]",Submission!$O:$O,Submission!$H:$N,""))</f>
        <v>Installation with low emissions</v>
      </c>
      <c r="D222" s="414"/>
      <c r="E222" s="414"/>
      <c r="F222" s="414"/>
      <c r="G222" s="364"/>
      <c r="H222" s="123" t="str">
        <f>_xlfn.CONCAT(_xlfn.XLOOKUP("[S05_DefaultValues][20][FuelMaterialType]",Submission!$O:$O,Submission!$H:$N,""))</f>
        <v>Steel (EF)</v>
      </c>
      <c r="I222" s="106" t="str">
        <f>_xlfn.CONCAT(_xlfn.XLOOKUP("[S05_DefaultValues][20][InstallationNumber]",Submission!$O:$O,Submission!$H:$N,""))</f>
        <v>2</v>
      </c>
    </row>
    <row r="223" spans="1:9" ht="15.9" customHeight="1" x14ac:dyDescent="0.3">
      <c r="A223" s="13"/>
      <c r="B223" s="34"/>
      <c r="C223" s="274" t="str">
        <f>_xlfn.CONCAT(_xlfn.XLOOKUP("[S05_DefaultValues][21][InstallationCategory]",Submission!$O:$O,Submission!$H:$N,""))</f>
        <v>Category B installation</v>
      </c>
      <c r="D223" s="414"/>
      <c r="E223" s="414"/>
      <c r="F223" s="414"/>
      <c r="G223" s="364"/>
      <c r="H223" s="123" t="str">
        <f>_xlfn.CONCAT(_xlfn.XLOOKUP("[S05_DefaultValues][21][FuelMaterialType]",Submission!$O:$O,Submission!$H:$N,""))</f>
        <v>Steel (EF)</v>
      </c>
      <c r="I223" s="106" t="str">
        <f>_xlfn.CONCAT(_xlfn.XLOOKUP("[S05_DefaultValues][21][InstallationNumber]",Submission!$O:$O,Submission!$H:$N,""))</f>
        <v>2</v>
      </c>
    </row>
    <row r="224" spans="1:9" ht="15.9" customHeight="1" x14ac:dyDescent="0.3">
      <c r="A224" s="13"/>
      <c r="B224" s="34"/>
      <c r="C224" s="274" t="str">
        <f>_xlfn.CONCAT(_xlfn.XLOOKUP("[S05_DefaultValues][22][InstallationCategory]",Submission!$O:$O,Submission!$H:$N,""))</f>
        <v>Installation with low emissions</v>
      </c>
      <c r="D224" s="414"/>
      <c r="E224" s="414"/>
      <c r="F224" s="414"/>
      <c r="G224" s="364"/>
      <c r="H224" s="123" t="str">
        <f>_xlfn.CONCAT(_xlfn.XLOOKUP("[S05_DefaultValues][22][FuelMaterialType]",Submission!$O:$O,Submission!$H:$N,""))</f>
        <v>Steel (C content)</v>
      </c>
      <c r="I224" s="106" t="str">
        <f>_xlfn.CONCAT(_xlfn.XLOOKUP("[S05_DefaultValues][22][InstallationNumber]",Submission!$O:$O,Submission!$H:$N,""))</f>
        <v>2</v>
      </c>
    </row>
    <row r="225" spans="1:9" ht="15.9" customHeight="1" x14ac:dyDescent="0.3">
      <c r="A225" s="13"/>
      <c r="B225" s="34"/>
      <c r="C225" s="274" t="str">
        <f>_xlfn.CONCAT(_xlfn.XLOOKUP("[S05_DefaultValues][23][InstallationCategory]",Submission!$O:$O,Submission!$H:$N,""))</f>
        <v>Category B installation</v>
      </c>
      <c r="D225" s="414"/>
      <c r="E225" s="414"/>
      <c r="F225" s="414"/>
      <c r="G225" s="364"/>
      <c r="H225" s="123" t="str">
        <f>_xlfn.CONCAT(_xlfn.XLOOKUP("[S05_DefaultValues][23][FuelMaterialType]",Submission!$O:$O,Submission!$H:$N,""))</f>
        <v>Steel (C content)</v>
      </c>
      <c r="I225" s="106" t="str">
        <f>_xlfn.CONCAT(_xlfn.XLOOKUP("[S05_DefaultValues][23][InstallationNumber]",Submission!$O:$O,Submission!$H:$N,""))</f>
        <v>1</v>
      </c>
    </row>
    <row r="226" spans="1:9" ht="15.9" customHeight="1" x14ac:dyDescent="0.3">
      <c r="A226" s="13"/>
      <c r="B226" s="34"/>
      <c r="C226" s="274" t="str">
        <f>_xlfn.CONCAT(_xlfn.XLOOKUP("[S05_DefaultValues][24][InstallationCategory]",Submission!$O:$O,Submission!$H:$N,""))</f>
        <v>Installation with low emissions</v>
      </c>
      <c r="D226" s="414"/>
      <c r="E226" s="414"/>
      <c r="F226" s="414"/>
      <c r="G226" s="364"/>
      <c r="H226" s="123" t="str">
        <f>_xlfn.CONCAT(_xlfn.XLOOKUP("[S05_DefaultValues][24][FuelMaterialType]",Submission!$O:$O,Submission!$H:$N,""))</f>
        <v>Pig iron / Scrap (EF)</v>
      </c>
      <c r="I226" s="106" t="str">
        <f>_xlfn.CONCAT(_xlfn.XLOOKUP("[S05_DefaultValues][24][InstallationNumber]",Submission!$O:$O,Submission!$H:$N,""))</f>
        <v>1</v>
      </c>
    </row>
    <row r="227" spans="1:9" ht="15.9" customHeight="1" x14ac:dyDescent="0.3">
      <c r="A227" s="13"/>
      <c r="B227" s="34"/>
      <c r="C227" s="274" t="str">
        <f>_xlfn.CONCAT(_xlfn.XLOOKUP("[S05_DefaultValues][25][InstallationCategory]",Submission!$O:$O,Submission!$H:$N,""))</f>
        <v>Category B installation</v>
      </c>
      <c r="D227" s="414"/>
      <c r="E227" s="414"/>
      <c r="F227" s="414"/>
      <c r="G227" s="364"/>
      <c r="H227" s="123" t="str">
        <f>_xlfn.CONCAT(_xlfn.XLOOKUP("[S05_DefaultValues][25][FuelMaterialType]",Submission!$O:$O,Submission!$H:$N,""))</f>
        <v>Pig iron / Scrap (EF)</v>
      </c>
      <c r="I227" s="106" t="str">
        <f>_xlfn.CONCAT(_xlfn.XLOOKUP("[S05_DefaultValues][25][InstallationNumber]",Submission!$O:$O,Submission!$H:$N,""))</f>
        <v>1</v>
      </c>
    </row>
    <row r="228" spans="1:9" ht="15.9" customHeight="1" x14ac:dyDescent="0.3">
      <c r="A228" s="13"/>
      <c r="B228" s="34"/>
      <c r="C228" s="274" t="str">
        <f>_xlfn.CONCAT(_xlfn.XLOOKUP("[S05_DefaultValues][26][InstallationCategory]",Submission!$O:$O,Submission!$H:$N,""))</f>
        <v>Installation with low emissions</v>
      </c>
      <c r="D228" s="414"/>
      <c r="E228" s="414"/>
      <c r="F228" s="414"/>
      <c r="G228" s="364"/>
      <c r="H228" s="123" t="str">
        <f>_xlfn.CONCAT(_xlfn.XLOOKUP("[S05_DefaultValues][26][FuelMaterialType]",Submission!$O:$O,Submission!$H:$N,""))</f>
        <v>Pig iron / Scrap (C content)</v>
      </c>
      <c r="I228" s="106" t="str">
        <f>_xlfn.CONCAT(_xlfn.XLOOKUP("[S05_DefaultValues][26][InstallationNumber]",Submission!$O:$O,Submission!$H:$N,""))</f>
        <v>2</v>
      </c>
    </row>
    <row r="229" spans="1:9" ht="15.9" customHeight="1" x14ac:dyDescent="0.3">
      <c r="A229" s="13"/>
      <c r="B229" s="34"/>
      <c r="C229" s="274" t="str">
        <f>_xlfn.CONCAT(_xlfn.XLOOKUP("[S05_DefaultValues][27][InstallationCategory]",Submission!$O:$O,Submission!$H:$N,""))</f>
        <v>Installation with low emissions</v>
      </c>
      <c r="D229" s="414"/>
      <c r="E229" s="414"/>
      <c r="F229" s="414"/>
      <c r="G229" s="364"/>
      <c r="H229" s="123" t="str">
        <f>_xlfn.CONCAT(_xlfn.XLOOKUP("[S05_DefaultValues][27][FuelMaterialType]",Submission!$O:$O,Submission!$H:$N,""))</f>
        <v>BaCO3 (EF)</v>
      </c>
      <c r="I229" s="106" t="str">
        <f>_xlfn.CONCAT(_xlfn.XLOOKUP("[S05_DefaultValues][27][InstallationNumber]",Submission!$O:$O,Submission!$H:$N,""))</f>
        <v>5</v>
      </c>
    </row>
    <row r="230" spans="1:9" ht="15.9" customHeight="1" x14ac:dyDescent="0.3">
      <c r="A230" s="13"/>
      <c r="B230" s="34"/>
      <c r="C230" s="274" t="str">
        <f>_xlfn.CONCAT(_xlfn.XLOOKUP("[S05_DefaultValues][28][InstallationCategory]",Submission!$O:$O,Submission!$H:$N,""))</f>
        <v>Category B installation</v>
      </c>
      <c r="D230" s="414"/>
      <c r="E230" s="414"/>
      <c r="F230" s="414"/>
      <c r="G230" s="364"/>
      <c r="H230" s="123" t="str">
        <f>_xlfn.CONCAT(_xlfn.XLOOKUP("[S05_DefaultValues][28][FuelMaterialType]",Submission!$O:$O,Submission!$H:$N,""))</f>
        <v>BaCO3 (EF)</v>
      </c>
      <c r="I230" s="106" t="str">
        <f>_xlfn.CONCAT(_xlfn.XLOOKUP("[S05_DefaultValues][28][InstallationNumber]",Submission!$O:$O,Submission!$H:$N,""))</f>
        <v>1</v>
      </c>
    </row>
    <row r="231" spans="1:9" ht="15.9" customHeight="1" x14ac:dyDescent="0.3">
      <c r="A231" s="13"/>
      <c r="B231" s="34"/>
      <c r="C231" s="274" t="str">
        <f>_xlfn.CONCAT(_xlfn.XLOOKUP("[S05_DefaultValues][29][InstallationCategory]",Submission!$O:$O,Submission!$H:$N,""))</f>
        <v>Category B installation</v>
      </c>
      <c r="D231" s="414"/>
      <c r="E231" s="414"/>
      <c r="F231" s="414"/>
      <c r="G231" s="364"/>
      <c r="H231" s="123" t="str">
        <f>_xlfn.CONCAT(_xlfn.XLOOKUP("[S05_DefaultValues][29][FuelMaterialType]",Submission!$O:$O,Submission!$H:$N,""))</f>
        <v>FeCO3 (EF)</v>
      </c>
      <c r="I231" s="106" t="str">
        <f>_xlfn.CONCAT(_xlfn.XLOOKUP("[S05_DefaultValues][29][InstallationNumber]",Submission!$O:$O,Submission!$H:$N,""))</f>
        <v>1</v>
      </c>
    </row>
    <row r="232" spans="1:9" ht="15.9" customHeight="1" x14ac:dyDescent="0.3">
      <c r="A232" s="13"/>
      <c r="B232" s="34"/>
      <c r="C232" s="274" t="str">
        <f>_xlfn.CONCAT(_xlfn.XLOOKUP("[S05_DefaultValues][30][InstallationCategory]",Submission!$O:$O,Submission!$H:$N,""))</f>
        <v>Category B installation</v>
      </c>
      <c r="D232" s="414"/>
      <c r="E232" s="414"/>
      <c r="F232" s="414"/>
      <c r="G232" s="364"/>
      <c r="H232" s="123" t="str">
        <f>_xlfn.CONCAT(_xlfn.XLOOKUP("[S05_DefaultValues][30][FuelMaterialType]",Submission!$O:$O,Submission!$H:$N,""))</f>
        <v>MnCO3 (EF)</v>
      </c>
      <c r="I232" s="106" t="str">
        <f>_xlfn.CONCAT(_xlfn.XLOOKUP("[S05_DefaultValues][30][InstallationNumber]",Submission!$O:$O,Submission!$H:$N,""))</f>
        <v>1</v>
      </c>
    </row>
    <row r="233" spans="1:9" ht="15.9" customHeight="1" x14ac:dyDescent="0.3">
      <c r="A233" s="13"/>
      <c r="B233" s="34"/>
      <c r="C233" s="274" t="str">
        <f>_xlfn.CONCAT(_xlfn.XLOOKUP("[S05_DefaultValues][31][InstallationCategory]",Submission!$O:$O,Submission!$H:$N,""))</f>
        <v>Installation with low emissions</v>
      </c>
      <c r="D233" s="414"/>
      <c r="E233" s="414"/>
      <c r="F233" s="414"/>
      <c r="G233" s="364"/>
      <c r="H233" s="123" t="str">
        <f>_xlfn.CONCAT(_xlfn.XLOOKUP("[S05_DefaultValues][31][FuelMaterialType]",Submission!$O:$O,Submission!$H:$N,""))</f>
        <v>Na2CO3 (EF)</v>
      </c>
      <c r="I233" s="106" t="str">
        <f>_xlfn.CONCAT(_xlfn.XLOOKUP("[S05_DefaultValues][31][InstallationNumber]",Submission!$O:$O,Submission!$H:$N,""))</f>
        <v>9</v>
      </c>
    </row>
    <row r="234" spans="1:9" ht="15.9" customHeight="1" x14ac:dyDescent="0.3">
      <c r="A234" s="13"/>
      <c r="B234" s="34"/>
      <c r="C234" s="274" t="str">
        <f>_xlfn.CONCAT(_xlfn.XLOOKUP("[S05_DefaultValues][32][InstallationCategory]",Submission!$O:$O,Submission!$H:$N,""))</f>
        <v>Category A installation</v>
      </c>
      <c r="D234" s="414"/>
      <c r="E234" s="414"/>
      <c r="F234" s="414"/>
      <c r="G234" s="364"/>
      <c r="H234" s="123" t="str">
        <f>_xlfn.CONCAT(_xlfn.XLOOKUP("[S05_DefaultValues][32][FuelMaterialType]",Submission!$O:$O,Submission!$H:$N,""))</f>
        <v>Na2CO3 (EF)</v>
      </c>
      <c r="I234" s="106" t="str">
        <f>_xlfn.CONCAT(_xlfn.XLOOKUP("[S05_DefaultValues][32][InstallationNumber]",Submission!$O:$O,Submission!$H:$N,""))</f>
        <v>2</v>
      </c>
    </row>
    <row r="235" spans="1:9" ht="15.9" customHeight="1" x14ac:dyDescent="0.3">
      <c r="A235" s="13"/>
      <c r="B235" s="34"/>
      <c r="C235" s="274" t="str">
        <f>_xlfn.CONCAT(_xlfn.XLOOKUP("[S05_DefaultValues][33][InstallationCategory]",Submission!$O:$O,Submission!$H:$N,""))</f>
        <v>Installation with low emissions</v>
      </c>
      <c r="D235" s="414"/>
      <c r="E235" s="414"/>
      <c r="F235" s="414"/>
      <c r="G235" s="364"/>
      <c r="H235" s="123" t="str">
        <f>_xlfn.CONCAT(_xlfn.XLOOKUP("[S05_DefaultValues][33][FuelMaterialType]",Submission!$O:$O,Submission!$H:$N,""))</f>
        <v>CaCO3 (EF)</v>
      </c>
      <c r="I235" s="106" t="str">
        <f>_xlfn.CONCAT(_xlfn.XLOOKUP("[S05_DefaultValues][33][InstallationNumber]",Submission!$O:$O,Submission!$H:$N,""))</f>
        <v>15</v>
      </c>
    </row>
    <row r="236" spans="1:9" ht="15.9" customHeight="1" x14ac:dyDescent="0.3">
      <c r="A236" s="13"/>
      <c r="B236" s="34"/>
      <c r="C236" s="274" t="str">
        <f>_xlfn.CONCAT(_xlfn.XLOOKUP("[S05_DefaultValues][34][InstallationCategory]",Submission!$O:$O,Submission!$H:$N,""))</f>
        <v>Category A installation</v>
      </c>
      <c r="D236" s="414"/>
      <c r="E236" s="414"/>
      <c r="F236" s="414"/>
      <c r="G236" s="364"/>
      <c r="H236" s="123" t="str">
        <f>_xlfn.CONCAT(_xlfn.XLOOKUP("[S05_DefaultValues][34][FuelMaterialType]",Submission!$O:$O,Submission!$H:$N,""))</f>
        <v>CaCO3 (EF)</v>
      </c>
      <c r="I236" s="106" t="str">
        <f>_xlfn.CONCAT(_xlfn.XLOOKUP("[S05_DefaultValues][34][InstallationNumber]",Submission!$O:$O,Submission!$H:$N,""))</f>
        <v>3</v>
      </c>
    </row>
    <row r="237" spans="1:9" ht="15.9" customHeight="1" x14ac:dyDescent="0.3">
      <c r="A237" s="13"/>
      <c r="B237" s="34"/>
      <c r="C237" s="274" t="str">
        <f>_xlfn.CONCAT(_xlfn.XLOOKUP("[S05_DefaultValues][35][InstallationCategory]",Submission!$O:$O,Submission!$H:$N,""))</f>
        <v>Category B installation</v>
      </c>
      <c r="D237" s="414"/>
      <c r="E237" s="414"/>
      <c r="F237" s="414"/>
      <c r="G237" s="364"/>
      <c r="H237" s="123" t="str">
        <f>_xlfn.CONCAT(_xlfn.XLOOKUP("[S05_DefaultValues][35][FuelMaterialType]",Submission!$O:$O,Submission!$H:$N,""))</f>
        <v>CaCO3 (EF)</v>
      </c>
      <c r="I237" s="106" t="str">
        <f>_xlfn.CONCAT(_xlfn.XLOOKUP("[S05_DefaultValues][35][InstallationNumber]",Submission!$O:$O,Submission!$H:$N,""))</f>
        <v>11</v>
      </c>
    </row>
    <row r="238" spans="1:9" ht="15.9" customHeight="1" x14ac:dyDescent="0.3">
      <c r="A238" s="13"/>
      <c r="B238" s="34"/>
      <c r="C238" s="274" t="str">
        <f>_xlfn.CONCAT(_xlfn.XLOOKUP("[S05_DefaultValues][36][InstallationCategory]",Submission!$O:$O,Submission!$H:$N,""))</f>
        <v>Category C installation</v>
      </c>
      <c r="D238" s="414"/>
      <c r="E238" s="414"/>
      <c r="F238" s="414"/>
      <c r="G238" s="364"/>
      <c r="H238" s="123" t="str">
        <f>_xlfn.CONCAT(_xlfn.XLOOKUP("[S05_DefaultValues][36][FuelMaterialType]",Submission!$O:$O,Submission!$H:$N,""))</f>
        <v>CaCO3 (EF)</v>
      </c>
      <c r="I238" s="106" t="str">
        <f>_xlfn.CONCAT(_xlfn.XLOOKUP("[S05_DefaultValues][36][InstallationNumber]",Submission!$O:$O,Submission!$H:$N,""))</f>
        <v>4</v>
      </c>
    </row>
    <row r="239" spans="1:9" ht="15.9" customHeight="1" x14ac:dyDescent="0.3">
      <c r="A239" s="13"/>
      <c r="B239" s="34"/>
      <c r="C239" s="274" t="str">
        <f>_xlfn.CONCAT(_xlfn.XLOOKUP("[S05_DefaultValues][37][InstallationCategory]",Submission!$O:$O,Submission!$H:$N,""))</f>
        <v>Installation with low emissions</v>
      </c>
      <c r="D239" s="414"/>
      <c r="E239" s="414"/>
      <c r="F239" s="414"/>
      <c r="G239" s="364"/>
      <c r="H239" s="123" t="str">
        <f>_xlfn.CONCAT(_xlfn.XLOOKUP("[S05_DefaultValues][37][FuelMaterialType]",Submission!$O:$O,Submission!$H:$N,""))</f>
        <v>MgCO3 (EF)</v>
      </c>
      <c r="I239" s="106" t="str">
        <f>_xlfn.CONCAT(_xlfn.XLOOKUP("[S05_DefaultValues][37][InstallationNumber]",Submission!$O:$O,Submission!$H:$N,""))</f>
        <v>2</v>
      </c>
    </row>
    <row r="240" spans="1:9" ht="15.9" customHeight="1" x14ac:dyDescent="0.3">
      <c r="A240" s="13"/>
      <c r="B240" s="34"/>
      <c r="C240" s="274" t="str">
        <f>_xlfn.CONCAT(_xlfn.XLOOKUP("[S05_DefaultValues][38][InstallationCategory]",Submission!$O:$O,Submission!$H:$N,""))</f>
        <v>Category A installation</v>
      </c>
      <c r="D240" s="414"/>
      <c r="E240" s="414"/>
      <c r="F240" s="414"/>
      <c r="G240" s="364"/>
      <c r="H240" s="123" t="str">
        <f>_xlfn.CONCAT(_xlfn.XLOOKUP("[S05_DefaultValues][38][FuelMaterialType]",Submission!$O:$O,Submission!$H:$N,""))</f>
        <v>MgCO3 (EF)</v>
      </c>
      <c r="I240" s="106" t="str">
        <f>_xlfn.CONCAT(_xlfn.XLOOKUP("[S05_DefaultValues][38][InstallationNumber]",Submission!$O:$O,Submission!$H:$N,""))</f>
        <v>6</v>
      </c>
    </row>
    <row r="241" spans="1:9" ht="15.9" customHeight="1" x14ac:dyDescent="0.3">
      <c r="A241" s="13"/>
      <c r="B241" s="34"/>
      <c r="C241" s="274" t="str">
        <f>_xlfn.CONCAT(_xlfn.XLOOKUP("[S05_DefaultValues][39][InstallationCategory]",Submission!$O:$O,Submission!$H:$N,""))</f>
        <v>Category C installation</v>
      </c>
      <c r="D241" s="414"/>
      <c r="E241" s="414"/>
      <c r="F241" s="414"/>
      <c r="G241" s="364"/>
      <c r="H241" s="123" t="str">
        <f>_xlfn.CONCAT(_xlfn.XLOOKUP("[S05_DefaultValues][39][FuelMaterialType]",Submission!$O:$O,Submission!$H:$N,""))</f>
        <v>MgCO3 (EF)</v>
      </c>
      <c r="I241" s="106" t="str">
        <f>_xlfn.CONCAT(_xlfn.XLOOKUP("[S05_DefaultValues][39][InstallationNumber]",Submission!$O:$O,Submission!$H:$N,""))</f>
        <v>4</v>
      </c>
    </row>
    <row r="242" spans="1:9" ht="15.9" customHeight="1" x14ac:dyDescent="0.3">
      <c r="A242" s="13"/>
      <c r="B242" s="34"/>
      <c r="C242" s="274" t="str">
        <f>_xlfn.CONCAT(_xlfn.XLOOKUP("[S05_DefaultValues][40][InstallationCategory]",Submission!$O:$O,Submission!$H:$N,""))</f>
        <v>Installation with low emissions</v>
      </c>
      <c r="D242" s="414"/>
      <c r="E242" s="414"/>
      <c r="F242" s="414"/>
      <c r="G242" s="364"/>
      <c r="H242" s="123" t="str">
        <f>_xlfn.CONCAT(_xlfn.XLOOKUP("[S05_DefaultValues][40][FuelMaterialType]",Submission!$O:$O,Submission!$H:$N,""))</f>
        <v>Li2CO3 (EF)</v>
      </c>
      <c r="I242" s="106" t="str">
        <f>_xlfn.CONCAT(_xlfn.XLOOKUP("[S05_DefaultValues][40][InstallationNumber]",Submission!$O:$O,Submission!$H:$N,""))</f>
        <v>2</v>
      </c>
    </row>
    <row r="243" spans="1:9" ht="15.9" hidden="1" customHeight="1" outlineLevel="1" x14ac:dyDescent="0.3">
      <c r="A243" s="13"/>
      <c r="B243" s="34"/>
      <c r="C243" s="274" t="str">
        <f>_xlfn.CONCAT(_xlfn.XLOOKUP("[S05_DefaultValues][41][InstallationCategory]",Submission!$O:$O,Submission!$H:$N,""))</f>
        <v>Category B installation</v>
      </c>
      <c r="D243" s="414"/>
      <c r="E243" s="414"/>
      <c r="F243" s="414"/>
      <c r="G243" s="364"/>
      <c r="H243" s="123" t="str">
        <f>_xlfn.CONCAT(_xlfn.XLOOKUP("[S05_DefaultValues][41][FuelMaterialType]",Submission!$O:$O,Submission!$H:$N,""))</f>
        <v>Li2CO3 (EF)</v>
      </c>
      <c r="I243" s="106" t="str">
        <f>_xlfn.CONCAT(_xlfn.XLOOKUP("[S05_DefaultValues][41][InstallationNumber]",Submission!$O:$O,Submission!$H:$N,""))</f>
        <v>1</v>
      </c>
    </row>
    <row r="244" spans="1:9" ht="15.9" hidden="1" customHeight="1" outlineLevel="1" x14ac:dyDescent="0.3">
      <c r="A244" s="13"/>
      <c r="B244" s="34"/>
      <c r="C244" s="274" t="str">
        <f>_xlfn.CONCAT(_xlfn.XLOOKUP("[S05_DefaultValues][42][InstallationCategory]",Submission!$O:$O,Submission!$H:$N,""))</f>
        <v>Installation with low emissions</v>
      </c>
      <c r="D244" s="414"/>
      <c r="E244" s="414"/>
      <c r="F244" s="414"/>
      <c r="G244" s="364"/>
      <c r="H244" s="123" t="str">
        <f>_xlfn.CONCAT(_xlfn.XLOOKUP("[S05_DefaultValues][42][FuelMaterialType]",Submission!$O:$O,Submission!$H:$N,""))</f>
        <v>LPG / Propane-Butane (NCV+EF)</v>
      </c>
      <c r="I244" s="106" t="str">
        <f>_xlfn.CONCAT(_xlfn.XLOOKUP("[S05_DefaultValues][42][InstallationNumber]",Submission!$O:$O,Submission!$H:$N,""))</f>
        <v>1</v>
      </c>
    </row>
    <row r="245" spans="1:9" ht="15.9" hidden="1" customHeight="1" outlineLevel="1" x14ac:dyDescent="0.3">
      <c r="A245" s="13"/>
      <c r="B245" s="34"/>
      <c r="C245" s="274" t="str">
        <f>_xlfn.CONCAT(_xlfn.XLOOKUP("[S05_DefaultValues][43][InstallationCategory]",Submission!$O:$O,Submission!$H:$N,""))</f>
        <v>Category C installation</v>
      </c>
      <c r="D245" s="414"/>
      <c r="E245" s="414"/>
      <c r="F245" s="414"/>
      <c r="G245" s="364"/>
      <c r="H245" s="123" t="str">
        <f>_xlfn.CONCAT(_xlfn.XLOOKUP("[S05_DefaultValues][43][FuelMaterialType]",Submission!$O:$O,Submission!$H:$N,""))</f>
        <v>LPG / Propane-Nutane (NCV+EF)</v>
      </c>
      <c r="I245" s="106" t="str">
        <f>_xlfn.CONCAT(_xlfn.XLOOKUP("[S05_DefaultValues][43][InstallationNumber]",Submission!$O:$O,Submission!$H:$N,""))</f>
        <v>1</v>
      </c>
    </row>
    <row r="246" spans="1:9" ht="15.9" hidden="1" customHeight="1" outlineLevel="1" x14ac:dyDescent="0.3">
      <c r="A246" s="13"/>
      <c r="B246" s="34"/>
      <c r="C246" s="274" t="str">
        <f>_xlfn.CONCAT(_xlfn.XLOOKUP("[S05_DefaultValues][44][InstallationCategory]",Submission!$O:$O,Submission!$H:$N,""))</f>
        <v>Category A installation</v>
      </c>
      <c r="D246" s="414"/>
      <c r="E246" s="414"/>
      <c r="F246" s="414"/>
      <c r="G246" s="364"/>
      <c r="H246" s="123" t="str">
        <f>_xlfn.CONCAT(_xlfn.XLOOKUP("[S05_DefaultValues][44][FuelMaterialType]",Submission!$O:$O,Submission!$H:$N,""))</f>
        <v>Graphite electrodes (C content)</v>
      </c>
      <c r="I246" s="106" t="str">
        <f>_xlfn.CONCAT(_xlfn.XLOOKUP("[S05_DefaultValues][44][InstallationNumber]",Submission!$O:$O,Submission!$H:$N,""))</f>
        <v>2</v>
      </c>
    </row>
    <row r="247" spans="1:9" ht="15.9" hidden="1" customHeight="1" outlineLevel="1" x14ac:dyDescent="0.3">
      <c r="A247" s="13"/>
      <c r="B247" s="34"/>
      <c r="C247" s="274" t="str">
        <f>_xlfn.CONCAT(_xlfn.XLOOKUP("[S05_DefaultValues][45][InstallationCategory]",Submission!$O:$O,Submission!$H:$N,""))</f>
        <v>Category C installation</v>
      </c>
      <c r="D247" s="414"/>
      <c r="E247" s="414"/>
      <c r="F247" s="414"/>
      <c r="G247" s="364"/>
      <c r="H247" s="123" t="str">
        <f>_xlfn.CONCAT(_xlfn.XLOOKUP("[S05_DefaultValues][45][FuelMaterialType]",Submission!$O:$O,Submission!$H:$N,""))</f>
        <v>Graphite electrodes (C content)</v>
      </c>
      <c r="I247" s="106" t="str">
        <f>_xlfn.CONCAT(_xlfn.XLOOKUP("[S05_DefaultValues][45][InstallationNumber]",Submission!$O:$O,Submission!$H:$N,""))</f>
        <v>1</v>
      </c>
    </row>
    <row r="248" spans="1:9" ht="15.9" hidden="1" customHeight="1" outlineLevel="1" x14ac:dyDescent="0.3">
      <c r="A248" s="13"/>
      <c r="B248" s="34"/>
      <c r="C248" s="274" t="str">
        <f>_xlfn.CONCAT(_xlfn.XLOOKUP("[S05_DefaultValues][46][InstallationCategory]",Submission!$O:$O,Submission!$H:$N,""))</f>
        <v/>
      </c>
      <c r="D248" s="414"/>
      <c r="E248" s="414"/>
      <c r="F248" s="414"/>
      <c r="G248" s="364"/>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74" t="str">
        <f>_xlfn.CONCAT(_xlfn.XLOOKUP("[S05_DefaultValues][47][InstallationCategory]",Submission!$O:$O,Submission!$H:$N,""))</f>
        <v/>
      </c>
      <c r="D249" s="414"/>
      <c r="E249" s="414"/>
      <c r="F249" s="414"/>
      <c r="G249" s="364"/>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74" t="str">
        <f>_xlfn.CONCAT(_xlfn.XLOOKUP("[S05_DefaultValues][48][InstallationCategory]",Submission!$O:$O,Submission!$H:$N,""))</f>
        <v/>
      </c>
      <c r="D250" s="414"/>
      <c r="E250" s="414"/>
      <c r="F250" s="414"/>
      <c r="G250" s="364"/>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74" t="str">
        <f>_xlfn.CONCAT(_xlfn.XLOOKUP("[S05_DefaultValues][49][InstallationCategory]",Submission!$O:$O,Submission!$H:$N,""))</f>
        <v/>
      </c>
      <c r="D251" s="414"/>
      <c r="E251" s="414"/>
      <c r="F251" s="414"/>
      <c r="G251" s="364"/>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74" t="str">
        <f>_xlfn.CONCAT(_xlfn.XLOOKUP("[S05_DefaultValues][50][InstallationCategory]",Submission!$O:$O,Submission!$H:$N,""))</f>
        <v/>
      </c>
      <c r="D252" s="414"/>
      <c r="E252" s="414"/>
      <c r="F252" s="414"/>
      <c r="G252" s="364"/>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74" t="str">
        <f>_xlfn.CONCAT(_xlfn.XLOOKUP("[S05_DefaultValues][51][InstallationCategory]",Submission!$O:$O,Submission!$H:$N,""))</f>
        <v/>
      </c>
      <c r="D253" s="414"/>
      <c r="E253" s="414"/>
      <c r="F253" s="414"/>
      <c r="G253" s="364"/>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74" t="str">
        <f>_xlfn.CONCAT(_xlfn.XLOOKUP("[S05_DefaultValues][52][InstallationCategory]",Submission!$O:$O,Submission!$H:$N,""))</f>
        <v/>
      </c>
      <c r="D254" s="414"/>
      <c r="E254" s="414"/>
      <c r="F254" s="414"/>
      <c r="G254" s="364"/>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74" t="str">
        <f>_xlfn.CONCAT(_xlfn.XLOOKUP("[S05_DefaultValues][53][InstallationCategory]",Submission!$O:$O,Submission!$H:$N,""))</f>
        <v/>
      </c>
      <c r="D255" s="414"/>
      <c r="E255" s="414"/>
      <c r="F255" s="414"/>
      <c r="G255" s="364"/>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74" t="str">
        <f>_xlfn.CONCAT(_xlfn.XLOOKUP("[S05_DefaultValues][54][InstallationCategory]",Submission!$O:$O,Submission!$H:$N,""))</f>
        <v/>
      </c>
      <c r="D256" s="414"/>
      <c r="E256" s="414"/>
      <c r="F256" s="414"/>
      <c r="G256" s="364"/>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74" t="str">
        <f>_xlfn.CONCAT(_xlfn.XLOOKUP("[S05_DefaultValues][55][InstallationCategory]",Submission!$O:$O,Submission!$H:$N,""))</f>
        <v/>
      </c>
      <c r="D257" s="414"/>
      <c r="E257" s="414"/>
      <c r="F257" s="414"/>
      <c r="G257" s="364"/>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74" t="str">
        <f>_xlfn.CONCAT(_xlfn.XLOOKUP("[S05_DefaultValues][56][InstallationCategory]",Submission!$O:$O,Submission!$H:$N,""))</f>
        <v/>
      </c>
      <c r="D258" s="414"/>
      <c r="E258" s="414"/>
      <c r="F258" s="414"/>
      <c r="G258" s="364"/>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74" t="str">
        <f>_xlfn.CONCAT(_xlfn.XLOOKUP("[S05_DefaultValues][57][InstallationCategory]",Submission!$O:$O,Submission!$H:$N,""))</f>
        <v/>
      </c>
      <c r="D259" s="414"/>
      <c r="E259" s="414"/>
      <c r="F259" s="414"/>
      <c r="G259" s="364"/>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74" t="str">
        <f>_xlfn.CONCAT(_xlfn.XLOOKUP("[S05_DefaultValues][58][InstallationCategory]",Submission!$O:$O,Submission!$H:$N,""))</f>
        <v/>
      </c>
      <c r="D260" s="414"/>
      <c r="E260" s="414"/>
      <c r="F260" s="414"/>
      <c r="G260" s="364"/>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74" t="str">
        <f>_xlfn.CONCAT(_xlfn.XLOOKUP("[S05_DefaultValues][59][InstallationCategory]",Submission!$O:$O,Submission!$H:$N,""))</f>
        <v/>
      </c>
      <c r="D261" s="414"/>
      <c r="E261" s="414"/>
      <c r="F261" s="414"/>
      <c r="G261" s="364"/>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74" t="str">
        <f>_xlfn.CONCAT(_xlfn.XLOOKUP("[S05_DefaultValues][60][InstallationCategory]",Submission!$O:$O,Submission!$H:$N,""))</f>
        <v/>
      </c>
      <c r="D262" s="414"/>
      <c r="E262" s="414"/>
      <c r="F262" s="414"/>
      <c r="G262" s="364"/>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74" t="str">
        <f>_xlfn.CONCAT(_xlfn.XLOOKUP("[S05_DefaultValues][61][InstallationCategory]",Submission!$O:$O,Submission!$H:$N,""))</f>
        <v/>
      </c>
      <c r="D263" s="414"/>
      <c r="E263" s="414"/>
      <c r="F263" s="414"/>
      <c r="G263" s="364"/>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74" t="str">
        <f>_xlfn.CONCAT(_xlfn.XLOOKUP("[S05_DefaultValues][62][InstallationCategory]",Submission!$O:$O,Submission!$H:$N,""))</f>
        <v/>
      </c>
      <c r="D264" s="414"/>
      <c r="E264" s="414"/>
      <c r="F264" s="414"/>
      <c r="G264" s="364"/>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74" t="str">
        <f>_xlfn.CONCAT(_xlfn.XLOOKUP("[S05_DefaultValues][63][InstallationCategory]",Submission!$O:$O,Submission!$H:$N,""))</f>
        <v/>
      </c>
      <c r="D265" s="414"/>
      <c r="E265" s="414"/>
      <c r="F265" s="414"/>
      <c r="G265" s="364"/>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74" t="str">
        <f>_xlfn.CONCAT(_xlfn.XLOOKUP("[S05_DefaultValues][64][InstallationCategory]",Submission!$O:$O,Submission!$H:$N,""))</f>
        <v/>
      </c>
      <c r="D266" s="414"/>
      <c r="E266" s="414"/>
      <c r="F266" s="414"/>
      <c r="G266" s="364"/>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74" t="str">
        <f>_xlfn.CONCAT(_xlfn.XLOOKUP("[S05_DefaultValues][65][InstallationCategory]",Submission!$O:$O,Submission!$H:$N,""))</f>
        <v/>
      </c>
      <c r="D267" s="414"/>
      <c r="E267" s="414"/>
      <c r="F267" s="414"/>
      <c r="G267" s="364"/>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74" t="str">
        <f>_xlfn.CONCAT(_xlfn.XLOOKUP("[S05_DefaultValues][66][InstallationCategory]",Submission!$O:$O,Submission!$H:$N,""))</f>
        <v/>
      </c>
      <c r="D268" s="414"/>
      <c r="E268" s="414"/>
      <c r="F268" s="414"/>
      <c r="G268" s="364"/>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74" t="str">
        <f>_xlfn.CONCAT(_xlfn.XLOOKUP("[S05_DefaultValues][67][InstallationCategory]",Submission!$O:$O,Submission!$H:$N,""))</f>
        <v/>
      </c>
      <c r="D269" s="414"/>
      <c r="E269" s="414"/>
      <c r="F269" s="414"/>
      <c r="G269" s="364"/>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74" t="str">
        <f>_xlfn.CONCAT(_xlfn.XLOOKUP("[S05_DefaultValues][68][InstallationCategory]",Submission!$O:$O,Submission!$H:$N,""))</f>
        <v/>
      </c>
      <c r="D270" s="414"/>
      <c r="E270" s="414"/>
      <c r="F270" s="414"/>
      <c r="G270" s="364"/>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74" t="str">
        <f>_xlfn.CONCAT(_xlfn.XLOOKUP("[S05_DefaultValues][69][InstallationCategory]",Submission!$O:$O,Submission!$H:$N,""))</f>
        <v/>
      </c>
      <c r="D271" s="414"/>
      <c r="E271" s="414"/>
      <c r="F271" s="414"/>
      <c r="G271" s="364"/>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74" t="str">
        <f>_xlfn.CONCAT(_xlfn.XLOOKUP("[S05_DefaultValues][70][InstallationCategory]",Submission!$O:$O,Submission!$H:$N,""))</f>
        <v/>
      </c>
      <c r="D272" s="414"/>
      <c r="E272" s="414"/>
      <c r="F272" s="414"/>
      <c r="G272" s="364"/>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74" t="str">
        <f>_xlfn.CONCAT(_xlfn.XLOOKUP("[S05_DefaultValues][71][InstallationCategory]",Submission!$O:$O,Submission!$H:$N,""))</f>
        <v/>
      </c>
      <c r="D273" s="414"/>
      <c r="E273" s="414"/>
      <c r="F273" s="414"/>
      <c r="G273" s="364"/>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74" t="str">
        <f>_xlfn.CONCAT(_xlfn.XLOOKUP("[S05_DefaultValues][72][InstallationCategory]",Submission!$O:$O,Submission!$H:$N,""))</f>
        <v/>
      </c>
      <c r="D274" s="414"/>
      <c r="E274" s="414"/>
      <c r="F274" s="414"/>
      <c r="G274" s="364"/>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74" t="str">
        <f>_xlfn.CONCAT(_xlfn.XLOOKUP("[S05_DefaultValues][73][InstallationCategory]",Submission!$O:$O,Submission!$H:$N,""))</f>
        <v/>
      </c>
      <c r="D275" s="414"/>
      <c r="E275" s="414"/>
      <c r="F275" s="414"/>
      <c r="G275" s="364"/>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74" t="str">
        <f>_xlfn.CONCAT(_xlfn.XLOOKUP("[S05_DefaultValues][74][InstallationCategory]",Submission!$O:$O,Submission!$H:$N,""))</f>
        <v/>
      </c>
      <c r="D276" s="414"/>
      <c r="E276" s="414"/>
      <c r="F276" s="414"/>
      <c r="G276" s="364"/>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74" t="str">
        <f>_xlfn.CONCAT(_xlfn.XLOOKUP("[S05_DefaultValues][75][InstallationCategory]",Submission!$O:$O,Submission!$H:$N,""))</f>
        <v/>
      </c>
      <c r="D277" s="414"/>
      <c r="E277" s="414"/>
      <c r="F277" s="414"/>
      <c r="G277" s="364"/>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74" t="str">
        <f>_xlfn.CONCAT(_xlfn.XLOOKUP("[S05_DefaultValues][76][InstallationCategory]",Submission!$O:$O,Submission!$H:$N,""))</f>
        <v/>
      </c>
      <c r="D278" s="414"/>
      <c r="E278" s="414"/>
      <c r="F278" s="414"/>
      <c r="G278" s="364"/>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74" t="str">
        <f>_xlfn.CONCAT(_xlfn.XLOOKUP("[S05_DefaultValues][77][InstallationCategory]",Submission!$O:$O,Submission!$H:$N,""))</f>
        <v/>
      </c>
      <c r="D279" s="414"/>
      <c r="E279" s="414"/>
      <c r="F279" s="414"/>
      <c r="G279" s="364"/>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74" t="str">
        <f>_xlfn.CONCAT(_xlfn.XLOOKUP("[S05_DefaultValues][78][InstallationCategory]",Submission!$O:$O,Submission!$H:$N,""))</f>
        <v/>
      </c>
      <c r="D280" s="414"/>
      <c r="E280" s="414"/>
      <c r="F280" s="414"/>
      <c r="G280" s="364"/>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74" t="str">
        <f>_xlfn.CONCAT(_xlfn.XLOOKUP("[S05_DefaultValues][79][InstallationCategory]",Submission!$O:$O,Submission!$H:$N,""))</f>
        <v/>
      </c>
      <c r="D281" s="414"/>
      <c r="E281" s="414"/>
      <c r="F281" s="414"/>
      <c r="G281" s="364"/>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74" t="str">
        <f>_xlfn.CONCAT(_xlfn.XLOOKUP("[S05_DefaultValues][80][InstallationCategory]",Submission!$O:$O,Submission!$H:$N,""))</f>
        <v/>
      </c>
      <c r="D282" s="414"/>
      <c r="E282" s="414"/>
      <c r="F282" s="414"/>
      <c r="G282" s="364"/>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74" t="str">
        <f>_xlfn.CONCAT(_xlfn.XLOOKUP("[S05_DefaultValues][81][InstallationCategory]",Submission!$O:$O,Submission!$H:$N,""))</f>
        <v/>
      </c>
      <c r="D283" s="414"/>
      <c r="E283" s="414"/>
      <c r="F283" s="414"/>
      <c r="G283" s="364"/>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74" t="str">
        <f>_xlfn.CONCAT(_xlfn.XLOOKUP("[S05_DefaultValues][82][InstallationCategory]",Submission!$O:$O,Submission!$H:$N,""))</f>
        <v/>
      </c>
      <c r="D284" s="414"/>
      <c r="E284" s="414"/>
      <c r="F284" s="414"/>
      <c r="G284" s="364"/>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74" t="str">
        <f>_xlfn.CONCAT(_xlfn.XLOOKUP("[S05_DefaultValues][83][InstallationCategory]",Submission!$O:$O,Submission!$H:$N,""))</f>
        <v/>
      </c>
      <c r="D285" s="414"/>
      <c r="E285" s="414"/>
      <c r="F285" s="414"/>
      <c r="G285" s="364"/>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74" t="str">
        <f>_xlfn.CONCAT(_xlfn.XLOOKUP("[S05_DefaultValues][84][InstallationCategory]",Submission!$O:$O,Submission!$H:$N,""))</f>
        <v/>
      </c>
      <c r="D286" s="414"/>
      <c r="E286" s="414"/>
      <c r="F286" s="414"/>
      <c r="G286" s="364"/>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74" t="str">
        <f>_xlfn.CONCAT(_xlfn.XLOOKUP("[S05_DefaultValues][85][InstallationCategory]",Submission!$O:$O,Submission!$H:$N,""))</f>
        <v/>
      </c>
      <c r="D287" s="414"/>
      <c r="E287" s="414"/>
      <c r="F287" s="414"/>
      <c r="G287" s="364"/>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74" t="str">
        <f>_xlfn.CONCAT(_xlfn.XLOOKUP("[S05_DefaultValues][86][InstallationCategory]",Submission!$O:$O,Submission!$H:$N,""))</f>
        <v/>
      </c>
      <c r="D288" s="414"/>
      <c r="E288" s="414"/>
      <c r="F288" s="414"/>
      <c r="G288" s="364"/>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74" t="str">
        <f>_xlfn.CONCAT(_xlfn.XLOOKUP("[S05_DefaultValues][87][InstallationCategory]",Submission!$O:$O,Submission!$H:$N,""))</f>
        <v/>
      </c>
      <c r="D289" s="414"/>
      <c r="E289" s="414"/>
      <c r="F289" s="414"/>
      <c r="G289" s="364"/>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74" t="str">
        <f>_xlfn.CONCAT(_xlfn.XLOOKUP("[S05_DefaultValues][88][InstallationCategory]",Submission!$O:$O,Submission!$H:$N,""))</f>
        <v/>
      </c>
      <c r="D290" s="414"/>
      <c r="E290" s="414"/>
      <c r="F290" s="414"/>
      <c r="G290" s="364"/>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74" t="str">
        <f>_xlfn.CONCAT(_xlfn.XLOOKUP("[S05_DefaultValues][89][InstallationCategory]",Submission!$O:$O,Submission!$H:$N,""))</f>
        <v/>
      </c>
      <c r="D291" s="414"/>
      <c r="E291" s="414"/>
      <c r="F291" s="414"/>
      <c r="G291" s="364"/>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74" t="str">
        <f>_xlfn.CONCAT(_xlfn.XLOOKUP("[S05_DefaultValues][90][InstallationCategory]",Submission!$O:$O,Submission!$H:$N,""))</f>
        <v/>
      </c>
      <c r="D292" s="414"/>
      <c r="E292" s="414"/>
      <c r="F292" s="414"/>
      <c r="G292" s="364"/>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74" t="str">
        <f>_xlfn.CONCAT(_xlfn.XLOOKUP("[S05_DefaultValues][91][InstallationCategory]",Submission!$O:$O,Submission!$H:$N,""))</f>
        <v/>
      </c>
      <c r="D293" s="414"/>
      <c r="E293" s="414"/>
      <c r="F293" s="414"/>
      <c r="G293" s="364"/>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74" t="str">
        <f>_xlfn.CONCAT(_xlfn.XLOOKUP("[S05_DefaultValues][92][InstallationCategory]",Submission!$O:$O,Submission!$H:$N,""))</f>
        <v/>
      </c>
      <c r="D294" s="414"/>
      <c r="E294" s="414"/>
      <c r="F294" s="414"/>
      <c r="G294" s="364"/>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74" t="str">
        <f>_xlfn.CONCAT(_xlfn.XLOOKUP("[S05_DefaultValues][93][InstallationCategory]",Submission!$O:$O,Submission!$H:$N,""))</f>
        <v/>
      </c>
      <c r="D295" s="414"/>
      <c r="E295" s="414"/>
      <c r="F295" s="414"/>
      <c r="G295" s="364"/>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74" t="str">
        <f>_xlfn.CONCAT(_xlfn.XLOOKUP("[S05_DefaultValues][94][InstallationCategory]",Submission!$O:$O,Submission!$H:$N,""))</f>
        <v/>
      </c>
      <c r="D296" s="414"/>
      <c r="E296" s="414"/>
      <c r="F296" s="414"/>
      <c r="G296" s="364"/>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74" t="str">
        <f>_xlfn.CONCAT(_xlfn.XLOOKUP("[S05_DefaultValues][95][InstallationCategory]",Submission!$O:$O,Submission!$H:$N,""))</f>
        <v/>
      </c>
      <c r="D297" s="414"/>
      <c r="E297" s="414"/>
      <c r="F297" s="414"/>
      <c r="G297" s="364"/>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74" t="str">
        <f>_xlfn.CONCAT(_xlfn.XLOOKUP("[S05_DefaultValues][96][InstallationCategory]",Submission!$O:$O,Submission!$H:$N,""))</f>
        <v/>
      </c>
      <c r="D298" s="414"/>
      <c r="E298" s="414"/>
      <c r="F298" s="414"/>
      <c r="G298" s="364"/>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74" t="str">
        <f>_xlfn.CONCAT(_xlfn.XLOOKUP("[S05_DefaultValues][97][InstallationCategory]",Submission!$O:$O,Submission!$H:$N,""))</f>
        <v/>
      </c>
      <c r="D299" s="414"/>
      <c r="E299" s="414"/>
      <c r="F299" s="414"/>
      <c r="G299" s="364"/>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74" t="str">
        <f>_xlfn.CONCAT(_xlfn.XLOOKUP("[S05_DefaultValues][98][InstallationCategory]",Submission!$O:$O,Submission!$H:$N,""))</f>
        <v/>
      </c>
      <c r="D300" s="414"/>
      <c r="E300" s="414"/>
      <c r="F300" s="414"/>
      <c r="G300" s="364"/>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74" t="str">
        <f>_xlfn.CONCAT(_xlfn.XLOOKUP("[S05_DefaultValues][99][InstallationCategory]",Submission!$O:$O,Submission!$H:$N,""))</f>
        <v/>
      </c>
      <c r="D301" s="414"/>
      <c r="E301" s="414"/>
      <c r="F301" s="414"/>
      <c r="G301" s="364"/>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74" t="str">
        <f>_xlfn.CONCAT(_xlfn.XLOOKUP("[S05_DefaultValues][100][InstallationCategory]",Submission!$O:$O,Submission!$H:$N,""))</f>
        <v/>
      </c>
      <c r="D302" s="414"/>
      <c r="E302" s="414"/>
      <c r="F302" s="414"/>
      <c r="G302" s="364"/>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74" t="str">
        <f>_xlfn.CONCAT(_xlfn.XLOOKUP("[S05_DefaultValues][101][InstallationCategory]",Submission!$O:$O,Submission!$H:$N,""))</f>
        <v/>
      </c>
      <c r="D303" s="414"/>
      <c r="E303" s="414"/>
      <c r="F303" s="414"/>
      <c r="G303" s="364"/>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74" t="str">
        <f>_xlfn.CONCAT(_xlfn.XLOOKUP("[S05_DefaultValues][102][InstallationCategory]",Submission!$O:$O,Submission!$H:$N,""))</f>
        <v/>
      </c>
      <c r="D304" s="414"/>
      <c r="E304" s="414"/>
      <c r="F304" s="414"/>
      <c r="G304" s="364"/>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74" t="str">
        <f>_xlfn.CONCAT(_xlfn.XLOOKUP("[S05_DefaultValues][103][InstallationCategory]",Submission!$O:$O,Submission!$H:$N,""))</f>
        <v/>
      </c>
      <c r="D305" s="414"/>
      <c r="E305" s="414"/>
      <c r="F305" s="414"/>
      <c r="G305" s="364"/>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74" t="str">
        <f>_xlfn.CONCAT(_xlfn.XLOOKUP("[S05_DefaultValues][104][InstallationCategory]",Submission!$O:$O,Submission!$H:$N,""))</f>
        <v/>
      </c>
      <c r="D306" s="414"/>
      <c r="E306" s="414"/>
      <c r="F306" s="414"/>
      <c r="G306" s="364"/>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74" t="str">
        <f>_xlfn.CONCAT(_xlfn.XLOOKUP("[S05_DefaultValues][105][InstallationCategory]",Submission!$O:$O,Submission!$H:$N,""))</f>
        <v/>
      </c>
      <c r="D307" s="414"/>
      <c r="E307" s="414"/>
      <c r="F307" s="414"/>
      <c r="G307" s="364"/>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74" t="str">
        <f>_xlfn.CONCAT(_xlfn.XLOOKUP("[S05_DefaultValues][106][InstallationCategory]",Submission!$O:$O,Submission!$H:$N,""))</f>
        <v/>
      </c>
      <c r="D308" s="414"/>
      <c r="E308" s="414"/>
      <c r="F308" s="414"/>
      <c r="G308" s="364"/>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74" t="str">
        <f>_xlfn.CONCAT(_xlfn.XLOOKUP("[S05_DefaultValues][107][InstallationCategory]",Submission!$O:$O,Submission!$H:$N,""))</f>
        <v/>
      </c>
      <c r="D309" s="414"/>
      <c r="E309" s="414"/>
      <c r="F309" s="414"/>
      <c r="G309" s="364"/>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74" t="str">
        <f>_xlfn.CONCAT(_xlfn.XLOOKUP("[S05_DefaultValues][108][InstallationCategory]",Submission!$O:$O,Submission!$H:$N,""))</f>
        <v/>
      </c>
      <c r="D310" s="414"/>
      <c r="E310" s="414"/>
      <c r="F310" s="414"/>
      <c r="G310" s="364"/>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74" t="str">
        <f>_xlfn.CONCAT(_xlfn.XLOOKUP("[S05_DefaultValues][109][InstallationCategory]",Submission!$O:$O,Submission!$H:$N,""))</f>
        <v/>
      </c>
      <c r="D311" s="414"/>
      <c r="E311" s="414"/>
      <c r="F311" s="414"/>
      <c r="G311" s="364"/>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74" t="str">
        <f>_xlfn.CONCAT(_xlfn.XLOOKUP("[S05_DefaultValues][110][InstallationCategory]",Submission!$O:$O,Submission!$H:$N,""))</f>
        <v/>
      </c>
      <c r="D312" s="414"/>
      <c r="E312" s="414"/>
      <c r="F312" s="414"/>
      <c r="G312" s="364"/>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74" t="str">
        <f>_xlfn.CONCAT(_xlfn.XLOOKUP("[S05_DefaultValues][111][InstallationCategory]",Submission!$O:$O,Submission!$H:$N,""))</f>
        <v/>
      </c>
      <c r="D313" s="414"/>
      <c r="E313" s="414"/>
      <c r="F313" s="414"/>
      <c r="G313" s="364"/>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74" t="str">
        <f>_xlfn.CONCAT(_xlfn.XLOOKUP("[S05_DefaultValues][112][InstallationCategory]",Submission!$O:$O,Submission!$H:$N,""))</f>
        <v/>
      </c>
      <c r="D314" s="414"/>
      <c r="E314" s="414"/>
      <c r="F314" s="414"/>
      <c r="G314" s="364"/>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74" t="str">
        <f>_xlfn.CONCAT(_xlfn.XLOOKUP("[S05_DefaultValues][113][InstallationCategory]",Submission!$O:$O,Submission!$H:$N,""))</f>
        <v/>
      </c>
      <c r="D315" s="414"/>
      <c r="E315" s="414"/>
      <c r="F315" s="414"/>
      <c r="G315" s="364"/>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74" t="str">
        <f>_xlfn.CONCAT(_xlfn.XLOOKUP("[S05_DefaultValues][114][InstallationCategory]",Submission!$O:$O,Submission!$H:$N,""))</f>
        <v/>
      </c>
      <c r="D316" s="414"/>
      <c r="E316" s="414"/>
      <c r="F316" s="414"/>
      <c r="G316" s="364"/>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74" t="str">
        <f>_xlfn.CONCAT(_xlfn.XLOOKUP("[S05_DefaultValues][115][InstallationCategory]",Submission!$O:$O,Submission!$H:$N,""))</f>
        <v/>
      </c>
      <c r="D317" s="414"/>
      <c r="E317" s="414"/>
      <c r="F317" s="414"/>
      <c r="G317" s="364"/>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74" t="str">
        <f>_xlfn.CONCAT(_xlfn.XLOOKUP("[S05_DefaultValues][116][InstallationCategory]",Submission!$O:$O,Submission!$H:$N,""))</f>
        <v/>
      </c>
      <c r="D318" s="414"/>
      <c r="E318" s="414"/>
      <c r="F318" s="414"/>
      <c r="G318" s="364"/>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74" t="str">
        <f>_xlfn.CONCAT(_xlfn.XLOOKUP("[S05_DefaultValues][117][InstallationCategory]",Submission!$O:$O,Submission!$H:$N,""))</f>
        <v/>
      </c>
      <c r="D319" s="414"/>
      <c r="E319" s="414"/>
      <c r="F319" s="414"/>
      <c r="G319" s="364"/>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74" t="str">
        <f>_xlfn.CONCAT(_xlfn.XLOOKUP("[S05_DefaultValues][118][InstallationCategory]",Submission!$O:$O,Submission!$H:$N,""))</f>
        <v/>
      </c>
      <c r="D320" s="414"/>
      <c r="E320" s="414"/>
      <c r="F320" s="414"/>
      <c r="G320" s="364"/>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74" t="str">
        <f>_xlfn.CONCAT(_xlfn.XLOOKUP("[S05_DefaultValues][119][InstallationCategory]",Submission!$O:$O,Submission!$H:$N,""))</f>
        <v/>
      </c>
      <c r="D321" s="414"/>
      <c r="E321" s="414"/>
      <c r="F321" s="414"/>
      <c r="G321" s="364"/>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74" t="str">
        <f>_xlfn.CONCAT(_xlfn.XLOOKUP("[S05_DefaultValues][120][InstallationCategory]",Submission!$O:$O,Submission!$H:$N,""))</f>
        <v/>
      </c>
      <c r="D322" s="414"/>
      <c r="E322" s="414"/>
      <c r="F322" s="414"/>
      <c r="G322" s="364"/>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74" t="str">
        <f>_xlfn.CONCAT(_xlfn.XLOOKUP("[S05_DefaultValues][121][InstallationCategory]",Submission!$O:$O,Submission!$H:$N,""))</f>
        <v/>
      </c>
      <c r="D323" s="414"/>
      <c r="E323" s="414"/>
      <c r="F323" s="414"/>
      <c r="G323" s="364"/>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74" t="str">
        <f>_xlfn.CONCAT(_xlfn.XLOOKUP("[S05_DefaultValues][122][InstallationCategory]",Submission!$O:$O,Submission!$H:$N,""))</f>
        <v/>
      </c>
      <c r="D324" s="414"/>
      <c r="E324" s="414"/>
      <c r="F324" s="414"/>
      <c r="G324" s="364"/>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74" t="str">
        <f>_xlfn.CONCAT(_xlfn.XLOOKUP("[S05_DefaultValues][123][InstallationCategory]",Submission!$O:$O,Submission!$H:$N,""))</f>
        <v/>
      </c>
      <c r="D325" s="414"/>
      <c r="E325" s="414"/>
      <c r="F325" s="414"/>
      <c r="G325" s="364"/>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74" t="str">
        <f>_xlfn.CONCAT(_xlfn.XLOOKUP("[S05_DefaultValues][124][InstallationCategory]",Submission!$O:$O,Submission!$H:$N,""))</f>
        <v/>
      </c>
      <c r="D326" s="414"/>
      <c r="E326" s="414"/>
      <c r="F326" s="414"/>
      <c r="G326" s="364"/>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74" t="str">
        <f>_xlfn.CONCAT(_xlfn.XLOOKUP("[S05_DefaultValues][125][InstallationCategory]",Submission!$O:$O,Submission!$H:$N,""))</f>
        <v/>
      </c>
      <c r="D327" s="414"/>
      <c r="E327" s="414"/>
      <c r="F327" s="414"/>
      <c r="G327" s="364"/>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74" t="str">
        <f>_xlfn.CONCAT(_xlfn.XLOOKUP("[S05_DefaultValues][126][InstallationCategory]",Submission!$O:$O,Submission!$H:$N,""))</f>
        <v/>
      </c>
      <c r="D328" s="414"/>
      <c r="E328" s="414"/>
      <c r="F328" s="414"/>
      <c r="G328" s="364"/>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74" t="str">
        <f>_xlfn.CONCAT(_xlfn.XLOOKUP("[S05_DefaultValues][127][InstallationCategory]",Submission!$O:$O,Submission!$H:$N,""))</f>
        <v/>
      </c>
      <c r="D329" s="414"/>
      <c r="E329" s="414"/>
      <c r="F329" s="414"/>
      <c r="G329" s="364"/>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74" t="str">
        <f>_xlfn.CONCAT(_xlfn.XLOOKUP("[S05_DefaultValues][128][InstallationCategory]",Submission!$O:$O,Submission!$H:$N,""))</f>
        <v/>
      </c>
      <c r="D330" s="414"/>
      <c r="E330" s="414"/>
      <c r="F330" s="414"/>
      <c r="G330" s="364"/>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74" t="str">
        <f>_xlfn.CONCAT(_xlfn.XLOOKUP("[S05_DefaultValues][129][InstallationCategory]",Submission!$O:$O,Submission!$H:$N,""))</f>
        <v/>
      </c>
      <c r="D331" s="414"/>
      <c r="E331" s="414"/>
      <c r="F331" s="414"/>
      <c r="G331" s="364"/>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74" t="str">
        <f>_xlfn.CONCAT(_xlfn.XLOOKUP("[S05_DefaultValues][130][InstallationCategory]",Submission!$O:$O,Submission!$H:$N,""))</f>
        <v/>
      </c>
      <c r="D332" s="414"/>
      <c r="E332" s="414"/>
      <c r="F332" s="414"/>
      <c r="G332" s="364"/>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74" t="str">
        <f>_xlfn.CONCAT(_xlfn.XLOOKUP("[S05_DefaultValues][131][InstallationCategory]",Submission!$O:$O,Submission!$H:$N,""))</f>
        <v/>
      </c>
      <c r="D333" s="414"/>
      <c r="E333" s="414"/>
      <c r="F333" s="414"/>
      <c r="G333" s="364"/>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74" t="str">
        <f>_xlfn.CONCAT(_xlfn.XLOOKUP("[S05_DefaultValues][132][InstallationCategory]",Submission!$O:$O,Submission!$H:$N,""))</f>
        <v/>
      </c>
      <c r="D334" s="414"/>
      <c r="E334" s="414"/>
      <c r="F334" s="414"/>
      <c r="G334" s="364"/>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74" t="str">
        <f>_xlfn.CONCAT(_xlfn.XLOOKUP("[S05_DefaultValues][133][InstallationCategory]",Submission!$O:$O,Submission!$H:$N,""))</f>
        <v/>
      </c>
      <c r="D335" s="414"/>
      <c r="E335" s="414"/>
      <c r="F335" s="414"/>
      <c r="G335" s="364"/>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74" t="str">
        <f>_xlfn.CONCAT(_xlfn.XLOOKUP("[S05_DefaultValues][134][InstallationCategory]",Submission!$O:$O,Submission!$H:$N,""))</f>
        <v/>
      </c>
      <c r="D336" s="414"/>
      <c r="E336" s="414"/>
      <c r="F336" s="414"/>
      <c r="G336" s="364"/>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74" t="str">
        <f>_xlfn.CONCAT(_xlfn.XLOOKUP("[S05_DefaultValues][135][InstallationCategory]",Submission!$O:$O,Submission!$H:$N,""))</f>
        <v/>
      </c>
      <c r="D337" s="414"/>
      <c r="E337" s="414"/>
      <c r="F337" s="414"/>
      <c r="G337" s="364"/>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74" t="str">
        <f>_xlfn.CONCAT(_xlfn.XLOOKUP("[S05_DefaultValues][136][InstallationCategory]",Submission!$O:$O,Submission!$H:$N,""))</f>
        <v/>
      </c>
      <c r="D338" s="414"/>
      <c r="E338" s="414"/>
      <c r="F338" s="414"/>
      <c r="G338" s="364"/>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74" t="str">
        <f>_xlfn.CONCAT(_xlfn.XLOOKUP("[S05_DefaultValues][137][InstallationCategory]",Submission!$O:$O,Submission!$H:$N,""))</f>
        <v/>
      </c>
      <c r="D339" s="414"/>
      <c r="E339" s="414"/>
      <c r="F339" s="414"/>
      <c r="G339" s="364"/>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74" t="str">
        <f>_xlfn.CONCAT(_xlfn.XLOOKUP("[S05_DefaultValues][138][InstallationCategory]",Submission!$O:$O,Submission!$H:$N,""))</f>
        <v/>
      </c>
      <c r="D340" s="414"/>
      <c r="E340" s="414"/>
      <c r="F340" s="414"/>
      <c r="G340" s="364"/>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74" t="str">
        <f>_xlfn.CONCAT(_xlfn.XLOOKUP("[S05_DefaultValues][139][InstallationCategory]",Submission!$O:$O,Submission!$H:$N,""))</f>
        <v/>
      </c>
      <c r="D341" s="414"/>
      <c r="E341" s="414"/>
      <c r="F341" s="414"/>
      <c r="G341" s="364"/>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74" t="str">
        <f>_xlfn.CONCAT(_xlfn.XLOOKUP("[S05_DefaultValues][140][InstallationCategory]",Submission!$O:$O,Submission!$H:$N,""))</f>
        <v/>
      </c>
      <c r="D342" s="414"/>
      <c r="E342" s="414"/>
      <c r="F342" s="414"/>
      <c r="G342" s="364"/>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74" t="str">
        <f>_xlfn.CONCAT(_xlfn.XLOOKUP("[S05_DefaultValues][141][InstallationCategory]",Submission!$O:$O,Submission!$H:$N,""))</f>
        <v/>
      </c>
      <c r="D343" s="414"/>
      <c r="E343" s="414"/>
      <c r="F343" s="414"/>
      <c r="G343" s="364"/>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74" t="str">
        <f>_xlfn.CONCAT(_xlfn.XLOOKUP("[S05_DefaultValues][142][InstallationCategory]",Submission!$O:$O,Submission!$H:$N,""))</f>
        <v/>
      </c>
      <c r="D344" s="414"/>
      <c r="E344" s="414"/>
      <c r="F344" s="414"/>
      <c r="G344" s="364"/>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74" t="str">
        <f>_xlfn.CONCAT(_xlfn.XLOOKUP("[S05_DefaultValues][143][InstallationCategory]",Submission!$O:$O,Submission!$H:$N,""))</f>
        <v/>
      </c>
      <c r="D345" s="414"/>
      <c r="E345" s="414"/>
      <c r="F345" s="414"/>
      <c r="G345" s="364"/>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74" t="str">
        <f>_xlfn.CONCAT(_xlfn.XLOOKUP("[S05_DefaultValues][144][InstallationCategory]",Submission!$O:$O,Submission!$H:$N,""))</f>
        <v/>
      </c>
      <c r="D346" s="414"/>
      <c r="E346" s="414"/>
      <c r="F346" s="414"/>
      <c r="G346" s="364"/>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74" t="str">
        <f>_xlfn.CONCAT(_xlfn.XLOOKUP("[S05_DefaultValues][145][InstallationCategory]",Submission!$O:$O,Submission!$H:$N,""))</f>
        <v/>
      </c>
      <c r="D347" s="414"/>
      <c r="E347" s="414"/>
      <c r="F347" s="414"/>
      <c r="G347" s="364"/>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74" t="str">
        <f>_xlfn.CONCAT(_xlfn.XLOOKUP("[S05_DefaultValues][146][InstallationCategory]",Submission!$O:$O,Submission!$H:$N,""))</f>
        <v/>
      </c>
      <c r="D348" s="414"/>
      <c r="E348" s="414"/>
      <c r="F348" s="414"/>
      <c r="G348" s="364"/>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74" t="str">
        <f>_xlfn.CONCAT(_xlfn.XLOOKUP("[S05_DefaultValues][147][InstallationCategory]",Submission!$O:$O,Submission!$H:$N,""))</f>
        <v/>
      </c>
      <c r="D349" s="414"/>
      <c r="E349" s="414"/>
      <c r="F349" s="414"/>
      <c r="G349" s="364"/>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74" t="str">
        <f>_xlfn.CONCAT(_xlfn.XLOOKUP("[S05_DefaultValues][148][InstallationCategory]",Submission!$O:$O,Submission!$H:$N,""))</f>
        <v/>
      </c>
      <c r="D350" s="414"/>
      <c r="E350" s="414"/>
      <c r="F350" s="414"/>
      <c r="G350" s="364"/>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74" t="str">
        <f>_xlfn.CONCAT(_xlfn.XLOOKUP("[S05_DefaultValues][149][InstallationCategory]",Submission!$O:$O,Submission!$H:$N,""))</f>
        <v/>
      </c>
      <c r="D351" s="414"/>
      <c r="E351" s="414"/>
      <c r="F351" s="414"/>
      <c r="G351" s="364"/>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74" t="str">
        <f>_xlfn.CONCAT(_xlfn.XLOOKUP("[S05_DefaultValues][150][InstallationCategory]",Submission!$O:$O,Submission!$H:$N,""))</f>
        <v/>
      </c>
      <c r="D352" s="414"/>
      <c r="E352" s="414"/>
      <c r="F352" s="414"/>
      <c r="G352" s="364"/>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74" t="str">
        <f>_xlfn.CONCAT(_xlfn.XLOOKUP("[S05_DefaultValues][151][InstallationCategory]",Submission!$O:$O,Submission!$H:$N,""))</f>
        <v/>
      </c>
      <c r="D353" s="414"/>
      <c r="E353" s="414"/>
      <c r="F353" s="414"/>
      <c r="G353" s="364"/>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74" t="str">
        <f>_xlfn.CONCAT(_xlfn.XLOOKUP("[S05_DefaultValues][152][InstallationCategory]",Submission!$O:$O,Submission!$H:$N,""))</f>
        <v/>
      </c>
      <c r="D354" s="414"/>
      <c r="E354" s="414"/>
      <c r="F354" s="414"/>
      <c r="G354" s="364"/>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74" t="str">
        <f>_xlfn.CONCAT(_xlfn.XLOOKUP("[S05_DefaultValues][153][InstallationCategory]",Submission!$O:$O,Submission!$H:$N,""))</f>
        <v/>
      </c>
      <c r="D355" s="414"/>
      <c r="E355" s="414"/>
      <c r="F355" s="414"/>
      <c r="G355" s="364"/>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74" t="str">
        <f>_xlfn.CONCAT(_xlfn.XLOOKUP("[S05_DefaultValues][154][InstallationCategory]",Submission!$O:$O,Submission!$H:$N,""))</f>
        <v/>
      </c>
      <c r="D356" s="414"/>
      <c r="E356" s="414"/>
      <c r="F356" s="414"/>
      <c r="G356" s="364"/>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74" t="str">
        <f>_xlfn.CONCAT(_xlfn.XLOOKUP("[S05_DefaultValues][155][InstallationCategory]",Submission!$O:$O,Submission!$H:$N,""))</f>
        <v/>
      </c>
      <c r="D357" s="414"/>
      <c r="E357" s="414"/>
      <c r="F357" s="414"/>
      <c r="G357" s="364"/>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74" t="str">
        <f>_xlfn.CONCAT(_xlfn.XLOOKUP("[S05_DefaultValues][156][InstallationCategory]",Submission!$O:$O,Submission!$H:$N,""))</f>
        <v/>
      </c>
      <c r="D358" s="414"/>
      <c r="E358" s="414"/>
      <c r="F358" s="414"/>
      <c r="G358" s="364"/>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74" t="str">
        <f>_xlfn.CONCAT(_xlfn.XLOOKUP("[S05_DefaultValues][157][InstallationCategory]",Submission!$O:$O,Submission!$H:$N,""))</f>
        <v/>
      </c>
      <c r="D359" s="414"/>
      <c r="E359" s="414"/>
      <c r="F359" s="414"/>
      <c r="G359" s="364"/>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74" t="str">
        <f>_xlfn.CONCAT(_xlfn.XLOOKUP("[S05_DefaultValues][158][InstallationCategory]",Submission!$O:$O,Submission!$H:$N,""))</f>
        <v/>
      </c>
      <c r="D360" s="414"/>
      <c r="E360" s="414"/>
      <c r="F360" s="414"/>
      <c r="G360" s="364"/>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74" t="str">
        <f>_xlfn.CONCAT(_xlfn.XLOOKUP("[S05_DefaultValues][159][InstallationCategory]",Submission!$O:$O,Submission!$H:$N,""))</f>
        <v/>
      </c>
      <c r="D361" s="414"/>
      <c r="E361" s="414"/>
      <c r="F361" s="414"/>
      <c r="G361" s="364"/>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74" t="str">
        <f>_xlfn.CONCAT(_xlfn.XLOOKUP("[S05_DefaultValues][160][InstallationCategory]",Submission!$O:$O,Submission!$H:$N,""))</f>
        <v/>
      </c>
      <c r="D362" s="414"/>
      <c r="E362" s="414"/>
      <c r="F362" s="414"/>
      <c r="G362" s="364"/>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74" t="str">
        <f>_xlfn.CONCAT(_xlfn.XLOOKUP("[S05_DefaultValues][161][InstallationCategory]",Submission!$O:$O,Submission!$H:$N,""))</f>
        <v/>
      </c>
      <c r="D363" s="414"/>
      <c r="E363" s="414"/>
      <c r="F363" s="414"/>
      <c r="G363" s="364"/>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74" t="str">
        <f>_xlfn.CONCAT(_xlfn.XLOOKUP("[S05_DefaultValues][162][InstallationCategory]",Submission!$O:$O,Submission!$H:$N,""))</f>
        <v/>
      </c>
      <c r="D364" s="414"/>
      <c r="E364" s="414"/>
      <c r="F364" s="414"/>
      <c r="G364" s="364"/>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74" t="str">
        <f>_xlfn.CONCAT(_xlfn.XLOOKUP("[S05_DefaultValues][163][InstallationCategory]",Submission!$O:$O,Submission!$H:$N,""))</f>
        <v/>
      </c>
      <c r="D365" s="414"/>
      <c r="E365" s="414"/>
      <c r="F365" s="414"/>
      <c r="G365" s="364"/>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74" t="str">
        <f>_xlfn.CONCAT(_xlfn.XLOOKUP("[S05_DefaultValues][164][InstallationCategory]",Submission!$O:$O,Submission!$H:$N,""))</f>
        <v/>
      </c>
      <c r="D366" s="414"/>
      <c r="E366" s="414"/>
      <c r="F366" s="414"/>
      <c r="G366" s="364"/>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74" t="str">
        <f>_xlfn.CONCAT(_xlfn.XLOOKUP("[S05_DefaultValues][165][InstallationCategory]",Submission!$O:$O,Submission!$H:$N,""))</f>
        <v/>
      </c>
      <c r="D367" s="414"/>
      <c r="E367" s="414"/>
      <c r="F367" s="414"/>
      <c r="G367" s="364"/>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74" t="str">
        <f>_xlfn.CONCAT(_xlfn.XLOOKUP("[S05_DefaultValues][166][InstallationCategory]",Submission!$O:$O,Submission!$H:$N,""))</f>
        <v/>
      </c>
      <c r="D368" s="414"/>
      <c r="E368" s="414"/>
      <c r="F368" s="414"/>
      <c r="G368" s="364"/>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74" t="str">
        <f>_xlfn.CONCAT(_xlfn.XLOOKUP("[S05_DefaultValues][167][InstallationCategory]",Submission!$O:$O,Submission!$H:$N,""))</f>
        <v/>
      </c>
      <c r="D369" s="414"/>
      <c r="E369" s="414"/>
      <c r="F369" s="414"/>
      <c r="G369" s="364"/>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74" t="str">
        <f>_xlfn.CONCAT(_xlfn.XLOOKUP("[S05_DefaultValues][168][InstallationCategory]",Submission!$O:$O,Submission!$H:$N,""))</f>
        <v/>
      </c>
      <c r="D370" s="414"/>
      <c r="E370" s="414"/>
      <c r="F370" s="414"/>
      <c r="G370" s="364"/>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74" t="str">
        <f>_xlfn.CONCAT(_xlfn.XLOOKUP("[S05_DefaultValues][169][InstallationCategory]",Submission!$O:$O,Submission!$H:$N,""))</f>
        <v/>
      </c>
      <c r="D371" s="414"/>
      <c r="E371" s="414"/>
      <c r="F371" s="414"/>
      <c r="G371" s="364"/>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74" t="str">
        <f>_xlfn.CONCAT(_xlfn.XLOOKUP("[S05_DefaultValues][170][InstallationCategory]",Submission!$O:$O,Submission!$H:$N,""))</f>
        <v/>
      </c>
      <c r="D372" s="414"/>
      <c r="E372" s="414"/>
      <c r="F372" s="414"/>
      <c r="G372" s="364"/>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74" t="str">
        <f>_xlfn.CONCAT(_xlfn.XLOOKUP("[S05_DefaultValues][171][InstallationCategory]",Submission!$O:$O,Submission!$H:$N,""))</f>
        <v/>
      </c>
      <c r="D373" s="414"/>
      <c r="E373" s="414"/>
      <c r="F373" s="414"/>
      <c r="G373" s="364"/>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74" t="str">
        <f>_xlfn.CONCAT(_xlfn.XLOOKUP("[S05_DefaultValues][172][InstallationCategory]",Submission!$O:$O,Submission!$H:$N,""))</f>
        <v/>
      </c>
      <c r="D374" s="414"/>
      <c r="E374" s="414"/>
      <c r="F374" s="414"/>
      <c r="G374" s="364"/>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74" t="str">
        <f>_xlfn.CONCAT(_xlfn.XLOOKUP("[S05_DefaultValues][173][InstallationCategory]",Submission!$O:$O,Submission!$H:$N,""))</f>
        <v/>
      </c>
      <c r="D375" s="414"/>
      <c r="E375" s="414"/>
      <c r="F375" s="414"/>
      <c r="G375" s="364"/>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74" t="str">
        <f>_xlfn.CONCAT(_xlfn.XLOOKUP("[S05_DefaultValues][174][InstallationCategory]",Submission!$O:$O,Submission!$H:$N,""))</f>
        <v/>
      </c>
      <c r="D376" s="414"/>
      <c r="E376" s="414"/>
      <c r="F376" s="414"/>
      <c r="G376" s="364"/>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74" t="str">
        <f>_xlfn.CONCAT(_xlfn.XLOOKUP("[S05_DefaultValues][175][InstallationCategory]",Submission!$O:$O,Submission!$H:$N,""))</f>
        <v/>
      </c>
      <c r="D377" s="414"/>
      <c r="E377" s="414"/>
      <c r="F377" s="414"/>
      <c r="G377" s="364"/>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74" t="str">
        <f>_xlfn.CONCAT(_xlfn.XLOOKUP("[S05_DefaultValues][176][InstallationCategory]",Submission!$O:$O,Submission!$H:$N,""))</f>
        <v/>
      </c>
      <c r="D378" s="414"/>
      <c r="E378" s="414"/>
      <c r="F378" s="414"/>
      <c r="G378" s="364"/>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74" t="str">
        <f>_xlfn.CONCAT(_xlfn.XLOOKUP("[S05_DefaultValues][177][InstallationCategory]",Submission!$O:$O,Submission!$H:$N,""))</f>
        <v/>
      </c>
      <c r="D379" s="414"/>
      <c r="E379" s="414"/>
      <c r="F379" s="414"/>
      <c r="G379" s="364"/>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74" t="str">
        <f>_xlfn.CONCAT(_xlfn.XLOOKUP("[S05_DefaultValues][178][InstallationCategory]",Submission!$O:$O,Submission!$H:$N,""))</f>
        <v/>
      </c>
      <c r="D380" s="414"/>
      <c r="E380" s="414"/>
      <c r="F380" s="414"/>
      <c r="G380" s="364"/>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74" t="str">
        <f>_xlfn.CONCAT(_xlfn.XLOOKUP("[S05_DefaultValues][179][InstallationCategory]",Submission!$O:$O,Submission!$H:$N,""))</f>
        <v/>
      </c>
      <c r="D381" s="414"/>
      <c r="E381" s="414"/>
      <c r="F381" s="414"/>
      <c r="G381" s="364"/>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74" t="str">
        <f>_xlfn.CONCAT(_xlfn.XLOOKUP("[S05_DefaultValues][180][InstallationCategory]",Submission!$O:$O,Submission!$H:$N,""))</f>
        <v/>
      </c>
      <c r="D382" s="414"/>
      <c r="E382" s="414"/>
      <c r="F382" s="414"/>
      <c r="G382" s="364"/>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74" t="str">
        <f>_xlfn.CONCAT(_xlfn.XLOOKUP("[S05_DefaultValues][181][InstallationCategory]",Submission!$O:$O,Submission!$H:$N,""))</f>
        <v/>
      </c>
      <c r="D383" s="414"/>
      <c r="E383" s="414"/>
      <c r="F383" s="414"/>
      <c r="G383" s="364"/>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74" t="str">
        <f>_xlfn.CONCAT(_xlfn.XLOOKUP("[S05_DefaultValues][182][InstallationCategory]",Submission!$O:$O,Submission!$H:$N,""))</f>
        <v/>
      </c>
      <c r="D384" s="414"/>
      <c r="E384" s="414"/>
      <c r="F384" s="414"/>
      <c r="G384" s="364"/>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74" t="str">
        <f>_xlfn.CONCAT(_xlfn.XLOOKUP("[S05_DefaultValues][183][InstallationCategory]",Submission!$O:$O,Submission!$H:$N,""))</f>
        <v/>
      </c>
      <c r="D385" s="414"/>
      <c r="E385" s="414"/>
      <c r="F385" s="414"/>
      <c r="G385" s="364"/>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74" t="str">
        <f>_xlfn.CONCAT(_xlfn.XLOOKUP("[S05_DefaultValues][184][InstallationCategory]",Submission!$O:$O,Submission!$H:$N,""))</f>
        <v/>
      </c>
      <c r="D386" s="414"/>
      <c r="E386" s="414"/>
      <c r="F386" s="414"/>
      <c r="G386" s="364"/>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74" t="str">
        <f>_xlfn.CONCAT(_xlfn.XLOOKUP("[S05_DefaultValues][185][InstallationCategory]",Submission!$O:$O,Submission!$H:$N,""))</f>
        <v/>
      </c>
      <c r="D387" s="414"/>
      <c r="E387" s="414"/>
      <c r="F387" s="414"/>
      <c r="G387" s="364"/>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74" t="str">
        <f>_xlfn.CONCAT(_xlfn.XLOOKUP("[S05_DefaultValues][186][InstallationCategory]",Submission!$O:$O,Submission!$H:$N,""))</f>
        <v/>
      </c>
      <c r="D388" s="414"/>
      <c r="E388" s="414"/>
      <c r="F388" s="414"/>
      <c r="G388" s="364"/>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74" t="str">
        <f>_xlfn.CONCAT(_xlfn.XLOOKUP("[S05_DefaultValues][187][InstallationCategory]",Submission!$O:$O,Submission!$H:$N,""))</f>
        <v/>
      </c>
      <c r="D389" s="414"/>
      <c r="E389" s="414"/>
      <c r="F389" s="414"/>
      <c r="G389" s="364"/>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74" t="str">
        <f>_xlfn.CONCAT(_xlfn.XLOOKUP("[S05_DefaultValues][188][InstallationCategory]",Submission!$O:$O,Submission!$H:$N,""))</f>
        <v/>
      </c>
      <c r="D390" s="414"/>
      <c r="E390" s="414"/>
      <c r="F390" s="414"/>
      <c r="G390" s="364"/>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74" t="str">
        <f>_xlfn.CONCAT(_xlfn.XLOOKUP("[S05_DefaultValues][189][InstallationCategory]",Submission!$O:$O,Submission!$H:$N,""))</f>
        <v/>
      </c>
      <c r="D391" s="414"/>
      <c r="E391" s="414"/>
      <c r="F391" s="414"/>
      <c r="G391" s="364"/>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74" t="str">
        <f>_xlfn.CONCAT(_xlfn.XLOOKUP("[S05_DefaultValues][190][InstallationCategory]",Submission!$O:$O,Submission!$H:$N,""))</f>
        <v/>
      </c>
      <c r="D392" s="414"/>
      <c r="E392" s="414"/>
      <c r="F392" s="414"/>
      <c r="G392" s="364"/>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74" t="str">
        <f>_xlfn.CONCAT(_xlfn.XLOOKUP("[S05_DefaultValues][191][InstallationCategory]",Submission!$O:$O,Submission!$H:$N,""))</f>
        <v/>
      </c>
      <c r="D393" s="414"/>
      <c r="E393" s="414"/>
      <c r="F393" s="414"/>
      <c r="G393" s="364"/>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74" t="str">
        <f>_xlfn.CONCAT(_xlfn.XLOOKUP("[S05_DefaultValues][192][InstallationCategory]",Submission!$O:$O,Submission!$H:$N,""))</f>
        <v/>
      </c>
      <c r="D394" s="414"/>
      <c r="E394" s="414"/>
      <c r="F394" s="414"/>
      <c r="G394" s="364"/>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74" t="str">
        <f>_xlfn.CONCAT(_xlfn.XLOOKUP("[S05_DefaultValues][193][InstallationCategory]",Submission!$O:$O,Submission!$H:$N,""))</f>
        <v/>
      </c>
      <c r="D395" s="414"/>
      <c r="E395" s="414"/>
      <c r="F395" s="414"/>
      <c r="G395" s="364"/>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74" t="str">
        <f>_xlfn.CONCAT(_xlfn.XLOOKUP("[S05_DefaultValues][194][InstallationCategory]",Submission!$O:$O,Submission!$H:$N,""))</f>
        <v/>
      </c>
      <c r="D396" s="414"/>
      <c r="E396" s="414"/>
      <c r="F396" s="414"/>
      <c r="G396" s="364"/>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74" t="str">
        <f>_xlfn.CONCAT(_xlfn.XLOOKUP("[S05_DefaultValues][195][InstallationCategory]",Submission!$O:$O,Submission!$H:$N,""))</f>
        <v/>
      </c>
      <c r="D397" s="414"/>
      <c r="E397" s="414"/>
      <c r="F397" s="414"/>
      <c r="G397" s="364"/>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74" t="str">
        <f>_xlfn.CONCAT(_xlfn.XLOOKUP("[S05_DefaultValues][196][InstallationCategory]",Submission!$O:$O,Submission!$H:$N,""))</f>
        <v/>
      </c>
      <c r="D398" s="414"/>
      <c r="E398" s="414"/>
      <c r="F398" s="414"/>
      <c r="G398" s="364"/>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74" t="str">
        <f>_xlfn.CONCAT(_xlfn.XLOOKUP("[S05_DefaultValues][197][InstallationCategory]",Submission!$O:$O,Submission!$H:$N,""))</f>
        <v/>
      </c>
      <c r="D399" s="414"/>
      <c r="E399" s="414"/>
      <c r="F399" s="414"/>
      <c r="G399" s="364"/>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74" t="str">
        <f>_xlfn.CONCAT(_xlfn.XLOOKUP("[S05_DefaultValues][198][InstallationCategory]",Submission!$O:$O,Submission!$H:$N,""))</f>
        <v/>
      </c>
      <c r="D400" s="414"/>
      <c r="E400" s="414"/>
      <c r="F400" s="414"/>
      <c r="G400" s="364"/>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74" t="str">
        <f>_xlfn.CONCAT(_xlfn.XLOOKUP("[S05_DefaultValues][199][InstallationCategory]",Submission!$O:$O,Submission!$H:$N,""))</f>
        <v/>
      </c>
      <c r="D401" s="414"/>
      <c r="E401" s="414"/>
      <c r="F401" s="414"/>
      <c r="G401" s="364"/>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74" t="str">
        <f>_xlfn.CONCAT(_xlfn.XLOOKUP("[S05_DefaultValues][200][InstallationCategory]",Submission!$O:$O,Submission!$H:$N,""))</f>
        <v/>
      </c>
      <c r="D402" s="414"/>
      <c r="E402" s="414"/>
      <c r="F402" s="414"/>
      <c r="G402" s="364"/>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74" t="str">
        <f>_xlfn.CONCAT(_xlfn.XLOOKUP("[S05_DefaultValues][201][InstallationCategory]",Submission!$O:$O,Submission!$H:$N,""))</f>
        <v/>
      </c>
      <c r="D403" s="414"/>
      <c r="E403" s="414"/>
      <c r="F403" s="414"/>
      <c r="G403" s="364"/>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74" t="str">
        <f>_xlfn.CONCAT(_xlfn.XLOOKUP("[S05_DefaultValues][202][InstallationCategory]",Submission!$O:$O,Submission!$H:$N,""))</f>
        <v/>
      </c>
      <c r="D404" s="414"/>
      <c r="E404" s="414"/>
      <c r="F404" s="414"/>
      <c r="G404" s="364"/>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74" t="str">
        <f>_xlfn.CONCAT(_xlfn.XLOOKUP("[S05_DefaultValues][203][InstallationCategory]",Submission!$O:$O,Submission!$H:$N,""))</f>
        <v/>
      </c>
      <c r="D405" s="414"/>
      <c r="E405" s="414"/>
      <c r="F405" s="414"/>
      <c r="G405" s="364"/>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74" t="str">
        <f>_xlfn.CONCAT(_xlfn.XLOOKUP("[S05_DefaultValues][204][InstallationCategory]",Submission!$O:$O,Submission!$H:$N,""))</f>
        <v/>
      </c>
      <c r="D406" s="414"/>
      <c r="E406" s="414"/>
      <c r="F406" s="414"/>
      <c r="G406" s="364"/>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74" t="str">
        <f>_xlfn.CONCAT(_xlfn.XLOOKUP("[S05_DefaultValues][205][InstallationCategory]",Submission!$O:$O,Submission!$H:$N,""))</f>
        <v/>
      </c>
      <c r="D407" s="414"/>
      <c r="E407" s="414"/>
      <c r="F407" s="414"/>
      <c r="G407" s="364"/>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74" t="str">
        <f>_xlfn.CONCAT(_xlfn.XLOOKUP("[S05_DefaultValues][206][InstallationCategory]",Submission!$O:$O,Submission!$H:$N,""))</f>
        <v/>
      </c>
      <c r="D408" s="414"/>
      <c r="E408" s="414"/>
      <c r="F408" s="414"/>
      <c r="G408" s="364"/>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74" t="str">
        <f>_xlfn.CONCAT(_xlfn.XLOOKUP("[S05_DefaultValues][207][InstallationCategory]",Submission!$O:$O,Submission!$H:$N,""))</f>
        <v/>
      </c>
      <c r="D409" s="414"/>
      <c r="E409" s="414"/>
      <c r="F409" s="414"/>
      <c r="G409" s="364"/>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74" t="str">
        <f>_xlfn.CONCAT(_xlfn.XLOOKUP("[S05_DefaultValues][208][InstallationCategory]",Submission!$O:$O,Submission!$H:$N,""))</f>
        <v/>
      </c>
      <c r="D410" s="414"/>
      <c r="E410" s="414"/>
      <c r="F410" s="414"/>
      <c r="G410" s="364"/>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74" t="str">
        <f>_xlfn.CONCAT(_xlfn.XLOOKUP("[S05_DefaultValues][209][InstallationCategory]",Submission!$O:$O,Submission!$H:$N,""))</f>
        <v/>
      </c>
      <c r="D411" s="414"/>
      <c r="E411" s="414"/>
      <c r="F411" s="414"/>
      <c r="G411" s="364"/>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74" t="str">
        <f>_xlfn.CONCAT(_xlfn.XLOOKUP("[S05_DefaultValues][210][InstallationCategory]",Submission!$O:$O,Submission!$H:$N,""))</f>
        <v/>
      </c>
      <c r="D412" s="414"/>
      <c r="E412" s="414"/>
      <c r="F412" s="414"/>
      <c r="G412" s="364"/>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74" t="str">
        <f>_xlfn.CONCAT(_xlfn.XLOOKUP("[S05_DefaultValues][211][InstallationCategory]",Submission!$O:$O,Submission!$H:$N,""))</f>
        <v/>
      </c>
      <c r="D413" s="414"/>
      <c r="E413" s="414"/>
      <c r="F413" s="414"/>
      <c r="G413" s="364"/>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74" t="str">
        <f>_xlfn.CONCAT(_xlfn.XLOOKUP("[S05_DefaultValues][212][InstallationCategory]",Submission!$O:$O,Submission!$H:$N,""))</f>
        <v/>
      </c>
      <c r="D414" s="414"/>
      <c r="E414" s="414"/>
      <c r="F414" s="414"/>
      <c r="G414" s="364"/>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74" t="str">
        <f>_xlfn.CONCAT(_xlfn.XLOOKUP("[S05_DefaultValues][213][InstallationCategory]",Submission!$O:$O,Submission!$H:$N,""))</f>
        <v/>
      </c>
      <c r="D415" s="414"/>
      <c r="E415" s="414"/>
      <c r="F415" s="414"/>
      <c r="G415" s="364"/>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74" t="str">
        <f>_xlfn.CONCAT(_xlfn.XLOOKUP("[S05_DefaultValues][214][InstallationCategory]",Submission!$O:$O,Submission!$H:$N,""))</f>
        <v/>
      </c>
      <c r="D416" s="414"/>
      <c r="E416" s="414"/>
      <c r="F416" s="414"/>
      <c r="G416" s="364"/>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74" t="str">
        <f>_xlfn.CONCAT(_xlfn.XLOOKUP("[S05_DefaultValues][215][InstallationCategory]",Submission!$O:$O,Submission!$H:$N,""))</f>
        <v/>
      </c>
      <c r="D417" s="414"/>
      <c r="E417" s="414"/>
      <c r="F417" s="414"/>
      <c r="G417" s="364"/>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4" t="str">
        <f>_xlfn.CONCAT(_xlfn.XLOOKUP("[S05_DefaultValues][216][InstallationCategory]",Submission!$O:$O,Submission!$H:$N,""))</f>
        <v/>
      </c>
      <c r="D418" s="414"/>
      <c r="E418" s="414"/>
      <c r="F418" s="414"/>
      <c r="G418" s="364"/>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4" t="str">
        <f>_xlfn.CONCAT(_xlfn.XLOOKUP("[S05_DefaultValues][217][InstallationCategory]",Submission!$O:$O,Submission!$H:$N,""))</f>
        <v/>
      </c>
      <c r="D419" s="414"/>
      <c r="E419" s="414"/>
      <c r="F419" s="414"/>
      <c r="G419" s="364"/>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4" t="str">
        <f>_xlfn.CONCAT(_xlfn.XLOOKUP("[S05_DefaultValues][218][InstallationCategory]",Submission!$O:$O,Submission!$H:$N,""))</f>
        <v/>
      </c>
      <c r="D420" s="414"/>
      <c r="E420" s="414"/>
      <c r="F420" s="414"/>
      <c r="G420" s="364"/>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4" t="str">
        <f>_xlfn.CONCAT(_xlfn.XLOOKUP("[S05_DefaultValues][219][InstallationCategory]",Submission!$O:$O,Submission!$H:$N,""))</f>
        <v/>
      </c>
      <c r="D421" s="414"/>
      <c r="E421" s="414"/>
      <c r="F421" s="414"/>
      <c r="G421" s="364"/>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4" t="str">
        <f>_xlfn.CONCAT(_xlfn.XLOOKUP("[S05_DefaultValues][220][InstallationCategory]",Submission!$O:$O,Submission!$H:$N,""))</f>
        <v/>
      </c>
      <c r="D422" s="414"/>
      <c r="E422" s="414"/>
      <c r="F422" s="414"/>
      <c r="G422" s="364"/>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4" t="str">
        <f>_xlfn.CONCAT(_xlfn.XLOOKUP("[S05_DefaultValues][221][InstallationCategory]",Submission!$O:$O,Submission!$H:$N,""))</f>
        <v/>
      </c>
      <c r="D423" s="414"/>
      <c r="E423" s="414"/>
      <c r="F423" s="414"/>
      <c r="G423" s="364"/>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4" t="str">
        <f>_xlfn.CONCAT(_xlfn.XLOOKUP("[S05_DefaultValues][222][InstallationCategory]",Submission!$O:$O,Submission!$H:$N,""))</f>
        <v/>
      </c>
      <c r="D424" s="414"/>
      <c r="E424" s="414"/>
      <c r="F424" s="414"/>
      <c r="G424" s="364"/>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4" t="str">
        <f>_xlfn.CONCAT(_xlfn.XLOOKUP("[S05_DefaultValues][223][InstallationCategory]",Submission!$O:$O,Submission!$H:$N,""))</f>
        <v/>
      </c>
      <c r="D425" s="414"/>
      <c r="E425" s="414"/>
      <c r="F425" s="414"/>
      <c r="G425" s="364"/>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4" t="str">
        <f>_xlfn.CONCAT(_xlfn.XLOOKUP("[S05_DefaultValues][224][InstallationCategory]",Submission!$O:$O,Submission!$H:$N,""))</f>
        <v/>
      </c>
      <c r="D426" s="414"/>
      <c r="E426" s="414"/>
      <c r="F426" s="414"/>
      <c r="G426" s="364"/>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4" t="str">
        <f>_xlfn.CONCAT(_xlfn.XLOOKUP("[S05_DefaultValues][225][InstallationCategory]",Submission!$O:$O,Submission!$H:$N,""))</f>
        <v/>
      </c>
      <c r="D427" s="414"/>
      <c r="E427" s="414"/>
      <c r="F427" s="414"/>
      <c r="G427" s="364"/>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4" t="str">
        <f>_xlfn.CONCAT(_xlfn.XLOOKUP("[S05_DefaultValues][226][InstallationCategory]",Submission!$O:$O,Submission!$H:$N,""))</f>
        <v/>
      </c>
      <c r="D428" s="414"/>
      <c r="E428" s="414"/>
      <c r="F428" s="414"/>
      <c r="G428" s="364"/>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4" t="str">
        <f>_xlfn.CONCAT(_xlfn.XLOOKUP("[S05_DefaultValues][227][InstallationCategory]",Submission!$O:$O,Submission!$H:$N,""))</f>
        <v/>
      </c>
      <c r="D429" s="414"/>
      <c r="E429" s="414"/>
      <c r="F429" s="414"/>
      <c r="G429" s="364"/>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4" t="str">
        <f>_xlfn.CONCAT(_xlfn.XLOOKUP("[S05_DefaultValues][228][InstallationCategory]",Submission!$O:$O,Submission!$H:$N,""))</f>
        <v/>
      </c>
      <c r="D430" s="414"/>
      <c r="E430" s="414"/>
      <c r="F430" s="414"/>
      <c r="G430" s="364"/>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4" t="str">
        <f>_xlfn.CONCAT(_xlfn.XLOOKUP("[S05_DefaultValues][229][InstallationCategory]",Submission!$O:$O,Submission!$H:$N,""))</f>
        <v/>
      </c>
      <c r="D431" s="414"/>
      <c r="E431" s="414"/>
      <c r="F431" s="414"/>
      <c r="G431" s="364"/>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4" t="str">
        <f>_xlfn.CONCAT(_xlfn.XLOOKUP("[S05_DefaultValues][230][InstallationCategory]",Submission!$O:$O,Submission!$H:$N,""))</f>
        <v/>
      </c>
      <c r="D432" s="414"/>
      <c r="E432" s="414"/>
      <c r="F432" s="414"/>
      <c r="G432" s="364"/>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4" t="str">
        <f>_xlfn.CONCAT(_xlfn.XLOOKUP("[S05_DefaultValues][231][InstallationCategory]",Submission!$O:$O,Submission!$H:$N,""))</f>
        <v/>
      </c>
      <c r="D433" s="414"/>
      <c r="E433" s="414"/>
      <c r="F433" s="414"/>
      <c r="G433" s="364"/>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4" t="str">
        <f>_xlfn.CONCAT(_xlfn.XLOOKUP("[S05_DefaultValues][232][InstallationCategory]",Submission!$O:$O,Submission!$H:$N,""))</f>
        <v/>
      </c>
      <c r="D434" s="414"/>
      <c r="E434" s="414"/>
      <c r="F434" s="414"/>
      <c r="G434" s="364"/>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4" t="str">
        <f>_xlfn.CONCAT(_xlfn.XLOOKUP("[S05_DefaultValues][233][InstallationCategory]",Submission!$O:$O,Submission!$H:$N,""))</f>
        <v/>
      </c>
      <c r="D435" s="414"/>
      <c r="E435" s="414"/>
      <c r="F435" s="414"/>
      <c r="G435" s="364"/>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4" t="str">
        <f>_xlfn.CONCAT(_xlfn.XLOOKUP("[S05_DefaultValues][234][InstallationCategory]",Submission!$O:$O,Submission!$H:$N,""))</f>
        <v/>
      </c>
      <c r="D436" s="414"/>
      <c r="E436" s="414"/>
      <c r="F436" s="414"/>
      <c r="G436" s="364"/>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4" t="str">
        <f>_xlfn.CONCAT(_xlfn.XLOOKUP("[S05_DefaultValues][235][InstallationCategory]",Submission!$O:$O,Submission!$H:$N,""))</f>
        <v/>
      </c>
      <c r="D437" s="414"/>
      <c r="E437" s="414"/>
      <c r="F437" s="414"/>
      <c r="G437" s="364"/>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4" t="str">
        <f>_xlfn.CONCAT(_xlfn.XLOOKUP("[S05_DefaultValues][236][InstallationCategory]",Submission!$O:$O,Submission!$H:$N,""))</f>
        <v/>
      </c>
      <c r="D438" s="414"/>
      <c r="E438" s="414"/>
      <c r="F438" s="414"/>
      <c r="G438" s="364"/>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4" t="str">
        <f>_xlfn.CONCAT(_xlfn.XLOOKUP("[S05_DefaultValues][237][InstallationCategory]",Submission!$O:$O,Submission!$H:$N,""))</f>
        <v/>
      </c>
      <c r="D439" s="414"/>
      <c r="E439" s="414"/>
      <c r="F439" s="414"/>
      <c r="G439" s="364"/>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4" t="str">
        <f>_xlfn.CONCAT(_xlfn.XLOOKUP("[S05_DefaultValues][238][InstallationCategory]",Submission!$O:$O,Submission!$H:$N,""))</f>
        <v/>
      </c>
      <c r="D440" s="414"/>
      <c r="E440" s="414"/>
      <c r="F440" s="414"/>
      <c r="G440" s="364"/>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4" t="str">
        <f>_xlfn.CONCAT(_xlfn.XLOOKUP("[S05_DefaultValues][239][InstallationCategory]",Submission!$O:$O,Submission!$H:$N,""))</f>
        <v/>
      </c>
      <c r="D441" s="414"/>
      <c r="E441" s="414"/>
      <c r="F441" s="414"/>
      <c r="G441" s="364"/>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4" t="str">
        <f>_xlfn.CONCAT(_xlfn.XLOOKUP("[S05_DefaultValues][240][InstallationCategory]",Submission!$O:$O,Submission!$H:$N,""))</f>
        <v/>
      </c>
      <c r="D442" s="414"/>
      <c r="E442" s="414"/>
      <c r="F442" s="414"/>
      <c r="G442" s="364"/>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4" t="str">
        <f>_xlfn.CONCAT(_xlfn.XLOOKUP("[S05_DefaultValues][241][InstallationCategory]",Submission!$O:$O,Submission!$H:$N,""))</f>
        <v/>
      </c>
      <c r="D443" s="414"/>
      <c r="E443" s="414"/>
      <c r="F443" s="414"/>
      <c r="G443" s="364"/>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4" t="str">
        <f>_xlfn.CONCAT(_xlfn.XLOOKUP("[S05_DefaultValues][242][InstallationCategory]",Submission!$O:$O,Submission!$H:$N,""))</f>
        <v/>
      </c>
      <c r="D444" s="414"/>
      <c r="E444" s="414"/>
      <c r="F444" s="414"/>
      <c r="G444" s="364"/>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4" t="str">
        <f>_xlfn.CONCAT(_xlfn.XLOOKUP("[S05_DefaultValues][243][InstallationCategory]",Submission!$O:$O,Submission!$H:$N,""))</f>
        <v/>
      </c>
      <c r="D445" s="414"/>
      <c r="E445" s="414"/>
      <c r="F445" s="414"/>
      <c r="G445" s="364"/>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4" t="str">
        <f>_xlfn.CONCAT(_xlfn.XLOOKUP("[S05_DefaultValues][244][InstallationCategory]",Submission!$O:$O,Submission!$H:$N,""))</f>
        <v/>
      </c>
      <c r="D446" s="414"/>
      <c r="E446" s="414"/>
      <c r="F446" s="414"/>
      <c r="G446" s="364"/>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4" t="str">
        <f>_xlfn.CONCAT(_xlfn.XLOOKUP("[S05_DefaultValues][245][InstallationCategory]",Submission!$O:$O,Submission!$H:$N,""))</f>
        <v/>
      </c>
      <c r="D447" s="414"/>
      <c r="E447" s="414"/>
      <c r="F447" s="414"/>
      <c r="G447" s="364"/>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4" t="str">
        <f>_xlfn.CONCAT(_xlfn.XLOOKUP("[S05_DefaultValues][246][InstallationCategory]",Submission!$O:$O,Submission!$H:$N,""))</f>
        <v/>
      </c>
      <c r="D448" s="414"/>
      <c r="E448" s="414"/>
      <c r="F448" s="414"/>
      <c r="G448" s="364"/>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4" t="str">
        <f>_xlfn.CONCAT(_xlfn.XLOOKUP("[S05_DefaultValues][247][InstallationCategory]",Submission!$O:$O,Submission!$H:$N,""))</f>
        <v/>
      </c>
      <c r="D449" s="414"/>
      <c r="E449" s="414"/>
      <c r="F449" s="414"/>
      <c r="G449" s="364"/>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4" t="str">
        <f>_xlfn.CONCAT(_xlfn.XLOOKUP("[S05_DefaultValues][248][InstallationCategory]",Submission!$O:$O,Submission!$H:$N,""))</f>
        <v/>
      </c>
      <c r="D450" s="414"/>
      <c r="E450" s="414"/>
      <c r="F450" s="414"/>
      <c r="G450" s="364"/>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4" t="str">
        <f>_xlfn.CONCAT(_xlfn.XLOOKUP("[S05_DefaultValues][249][InstallationCategory]",Submission!$O:$O,Submission!$H:$N,""))</f>
        <v/>
      </c>
      <c r="D451" s="414"/>
      <c r="E451" s="414"/>
      <c r="F451" s="414"/>
      <c r="G451" s="364"/>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4" t="str">
        <f>_xlfn.CONCAT(_xlfn.XLOOKUP("[S05_DefaultValues][250][InstallationCategory]",Submission!$O:$O,Submission!$H:$N,""))</f>
        <v/>
      </c>
      <c r="D452" s="414"/>
      <c r="E452" s="414"/>
      <c r="F452" s="414"/>
      <c r="G452" s="364"/>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4" t="str">
        <f>_xlfn.CONCAT(_xlfn.XLOOKUP("[S05_DefaultValues][251][InstallationCategory]",Submission!$O:$O,Submission!$H:$N,""))</f>
        <v/>
      </c>
      <c r="D453" s="414"/>
      <c r="E453" s="414"/>
      <c r="F453" s="414"/>
      <c r="G453" s="364"/>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4" t="str">
        <f>_xlfn.CONCAT(_xlfn.XLOOKUP("[S05_DefaultValues][252][InstallationCategory]",Submission!$O:$O,Submission!$H:$N,""))</f>
        <v/>
      </c>
      <c r="D454" s="414"/>
      <c r="E454" s="414"/>
      <c r="F454" s="414"/>
      <c r="G454" s="364"/>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4" t="str">
        <f>_xlfn.CONCAT(_xlfn.XLOOKUP("[S05_DefaultValues][253][InstallationCategory]",Submission!$O:$O,Submission!$H:$N,""))</f>
        <v/>
      </c>
      <c r="D455" s="414"/>
      <c r="E455" s="414"/>
      <c r="F455" s="414"/>
      <c r="G455" s="364"/>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4" t="str">
        <f>_xlfn.CONCAT(_xlfn.XLOOKUP("[S05_DefaultValues][254][InstallationCategory]",Submission!$O:$O,Submission!$H:$N,""))</f>
        <v/>
      </c>
      <c r="D456" s="414"/>
      <c r="E456" s="414"/>
      <c r="F456" s="414"/>
      <c r="G456" s="364"/>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4" t="str">
        <f>_xlfn.CONCAT(_xlfn.XLOOKUP("[S05_DefaultValues][255][InstallationCategory]",Submission!$O:$O,Submission!$H:$N,""))</f>
        <v/>
      </c>
      <c r="D457" s="414"/>
      <c r="E457" s="414"/>
      <c r="F457" s="414"/>
      <c r="G457" s="364"/>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4" t="str">
        <f>_xlfn.CONCAT(_xlfn.XLOOKUP("[S05_DefaultValues][256][InstallationCategory]",Submission!$O:$O,Submission!$H:$N,""))</f>
        <v/>
      </c>
      <c r="D458" s="414"/>
      <c r="E458" s="414"/>
      <c r="F458" s="414"/>
      <c r="G458" s="364"/>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4" t="str">
        <f>_xlfn.CONCAT(_xlfn.XLOOKUP("[S05_DefaultValues][257][InstallationCategory]",Submission!$O:$O,Submission!$H:$N,""))</f>
        <v/>
      </c>
      <c r="D459" s="414"/>
      <c r="E459" s="414"/>
      <c r="F459" s="414"/>
      <c r="G459" s="364"/>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4" t="str">
        <f>_xlfn.CONCAT(_xlfn.XLOOKUP("[S05_DefaultValues][258][InstallationCategory]",Submission!$O:$O,Submission!$H:$N,""))</f>
        <v/>
      </c>
      <c r="D460" s="414"/>
      <c r="E460" s="414"/>
      <c r="F460" s="414"/>
      <c r="G460" s="364"/>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4" t="str">
        <f>_xlfn.CONCAT(_xlfn.XLOOKUP("[S05_DefaultValues][259][InstallationCategory]",Submission!$O:$O,Submission!$H:$N,""))</f>
        <v/>
      </c>
      <c r="D461" s="414"/>
      <c r="E461" s="414"/>
      <c r="F461" s="414"/>
      <c r="G461" s="364"/>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4" t="str">
        <f>_xlfn.CONCAT(_xlfn.XLOOKUP("[S05_DefaultValues][260][InstallationCategory]",Submission!$O:$O,Submission!$H:$N,""))</f>
        <v/>
      </c>
      <c r="D462" s="414"/>
      <c r="E462" s="414"/>
      <c r="F462" s="414"/>
      <c r="G462" s="364"/>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4" t="str">
        <f>_xlfn.CONCAT(_xlfn.XLOOKUP("[S05_DefaultValues][261][InstallationCategory]",Submission!$O:$O,Submission!$H:$N,""))</f>
        <v/>
      </c>
      <c r="D463" s="414"/>
      <c r="E463" s="414"/>
      <c r="F463" s="414"/>
      <c r="G463" s="364"/>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4" t="str">
        <f>_xlfn.CONCAT(_xlfn.XLOOKUP("[S05_DefaultValues][262][InstallationCategory]",Submission!$O:$O,Submission!$H:$N,""))</f>
        <v/>
      </c>
      <c r="D464" s="414"/>
      <c r="E464" s="414"/>
      <c r="F464" s="414"/>
      <c r="G464" s="364"/>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4" t="str">
        <f>_xlfn.CONCAT(_xlfn.XLOOKUP("[S05_DefaultValues][263][InstallationCategory]",Submission!$O:$O,Submission!$H:$N,""))</f>
        <v/>
      </c>
      <c r="D465" s="414"/>
      <c r="E465" s="414"/>
      <c r="F465" s="414"/>
      <c r="G465" s="364"/>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4" t="str">
        <f>_xlfn.CONCAT(_xlfn.XLOOKUP("[S05_DefaultValues][264][InstallationCategory]",Submission!$O:$O,Submission!$H:$N,""))</f>
        <v/>
      </c>
      <c r="D466" s="414"/>
      <c r="E466" s="414"/>
      <c r="F466" s="414"/>
      <c r="G466" s="364"/>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4" t="str">
        <f>_xlfn.CONCAT(_xlfn.XLOOKUP("[S05_DefaultValues][265][InstallationCategory]",Submission!$O:$O,Submission!$H:$N,""))</f>
        <v/>
      </c>
      <c r="D467" s="414"/>
      <c r="E467" s="414"/>
      <c r="F467" s="414"/>
      <c r="G467" s="364"/>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4" t="str">
        <f>_xlfn.CONCAT(_xlfn.XLOOKUP("[S05_DefaultValues][266][InstallationCategory]",Submission!$O:$O,Submission!$H:$N,""))</f>
        <v/>
      </c>
      <c r="D468" s="414"/>
      <c r="E468" s="414"/>
      <c r="F468" s="414"/>
      <c r="G468" s="364"/>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4" t="str">
        <f>_xlfn.CONCAT(_xlfn.XLOOKUP("[S05_DefaultValues][267][InstallationCategory]",Submission!$O:$O,Submission!$H:$N,""))</f>
        <v/>
      </c>
      <c r="D469" s="414"/>
      <c r="E469" s="414"/>
      <c r="F469" s="414"/>
      <c r="G469" s="364"/>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4" t="str">
        <f>_xlfn.CONCAT(_xlfn.XLOOKUP("[S05_DefaultValues][268][InstallationCategory]",Submission!$O:$O,Submission!$H:$N,""))</f>
        <v/>
      </c>
      <c r="D470" s="414"/>
      <c r="E470" s="414"/>
      <c r="F470" s="414"/>
      <c r="G470" s="364"/>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4" t="str">
        <f>_xlfn.CONCAT(_xlfn.XLOOKUP("[S05_DefaultValues][269][InstallationCategory]",Submission!$O:$O,Submission!$H:$N,""))</f>
        <v/>
      </c>
      <c r="D471" s="414"/>
      <c r="E471" s="414"/>
      <c r="F471" s="414"/>
      <c r="G471" s="364"/>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4" t="str">
        <f>_xlfn.CONCAT(_xlfn.XLOOKUP("[S05_DefaultValues][270][InstallationCategory]",Submission!$O:$O,Submission!$H:$N,""))</f>
        <v/>
      </c>
      <c r="D472" s="414"/>
      <c r="E472" s="414"/>
      <c r="F472" s="414"/>
      <c r="G472" s="364"/>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4" t="str">
        <f>_xlfn.CONCAT(_xlfn.XLOOKUP("[S05_DefaultValues][271][InstallationCategory]",Submission!$O:$O,Submission!$H:$N,""))</f>
        <v/>
      </c>
      <c r="D473" s="414"/>
      <c r="E473" s="414"/>
      <c r="F473" s="414"/>
      <c r="G473" s="364"/>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4" t="str">
        <f>_xlfn.CONCAT(_xlfn.XLOOKUP("[S05_DefaultValues][272][InstallationCategory]",Submission!$O:$O,Submission!$H:$N,""))</f>
        <v/>
      </c>
      <c r="D474" s="414"/>
      <c r="E474" s="414"/>
      <c r="F474" s="414"/>
      <c r="G474" s="364"/>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4" t="str">
        <f>_xlfn.CONCAT(_xlfn.XLOOKUP("[S05_DefaultValues][273][InstallationCategory]",Submission!$O:$O,Submission!$H:$N,""))</f>
        <v/>
      </c>
      <c r="D475" s="414"/>
      <c r="E475" s="414"/>
      <c r="F475" s="414"/>
      <c r="G475" s="364"/>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4" t="str">
        <f>_xlfn.CONCAT(_xlfn.XLOOKUP("[S05_DefaultValues][274][InstallationCategory]",Submission!$O:$O,Submission!$H:$N,""))</f>
        <v/>
      </c>
      <c r="D476" s="414"/>
      <c r="E476" s="414"/>
      <c r="F476" s="414"/>
      <c r="G476" s="364"/>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4" t="str">
        <f>_xlfn.CONCAT(_xlfn.XLOOKUP("[S05_DefaultValues][275][InstallationCategory]",Submission!$O:$O,Submission!$H:$N,""))</f>
        <v/>
      </c>
      <c r="D477" s="414"/>
      <c r="E477" s="414"/>
      <c r="F477" s="414"/>
      <c r="G477" s="364"/>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4" t="str">
        <f>_xlfn.CONCAT(_xlfn.XLOOKUP("[S05_DefaultValues][276][InstallationCategory]",Submission!$O:$O,Submission!$H:$N,""))</f>
        <v/>
      </c>
      <c r="D478" s="414"/>
      <c r="E478" s="414"/>
      <c r="F478" s="414"/>
      <c r="G478" s="364"/>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4" t="str">
        <f>_xlfn.CONCAT(_xlfn.XLOOKUP("[S05_DefaultValues][277][InstallationCategory]",Submission!$O:$O,Submission!$H:$N,""))</f>
        <v/>
      </c>
      <c r="D479" s="414"/>
      <c r="E479" s="414"/>
      <c r="F479" s="414"/>
      <c r="G479" s="364"/>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4" t="str">
        <f>_xlfn.CONCAT(_xlfn.XLOOKUP("[S05_DefaultValues][278][InstallationCategory]",Submission!$O:$O,Submission!$H:$N,""))</f>
        <v/>
      </c>
      <c r="D480" s="414"/>
      <c r="E480" s="414"/>
      <c r="F480" s="414"/>
      <c r="G480" s="364"/>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4" t="str">
        <f>_xlfn.CONCAT(_xlfn.XLOOKUP("[S05_DefaultValues][279][InstallationCategory]",Submission!$O:$O,Submission!$H:$N,""))</f>
        <v/>
      </c>
      <c r="D481" s="414"/>
      <c r="E481" s="414"/>
      <c r="F481" s="414"/>
      <c r="G481" s="364"/>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4" t="str">
        <f>_xlfn.CONCAT(_xlfn.XLOOKUP("[S05_DefaultValues][280][InstallationCategory]",Submission!$O:$O,Submission!$H:$N,""))</f>
        <v/>
      </c>
      <c r="D482" s="414"/>
      <c r="E482" s="414"/>
      <c r="F482" s="414"/>
      <c r="G482" s="364"/>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4" t="str">
        <f>_xlfn.CONCAT(_xlfn.XLOOKUP("[S05_DefaultValues][281][InstallationCategory]",Submission!$O:$O,Submission!$H:$N,""))</f>
        <v/>
      </c>
      <c r="D483" s="414"/>
      <c r="E483" s="414"/>
      <c r="F483" s="414"/>
      <c r="G483" s="364"/>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4" t="str">
        <f>_xlfn.CONCAT(_xlfn.XLOOKUP("[S05_DefaultValues][282][InstallationCategory]",Submission!$O:$O,Submission!$H:$N,""))</f>
        <v/>
      </c>
      <c r="D484" s="414"/>
      <c r="E484" s="414"/>
      <c r="F484" s="414"/>
      <c r="G484" s="364"/>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4" t="str">
        <f>_xlfn.CONCAT(_xlfn.XLOOKUP("[S05_DefaultValues][283][InstallationCategory]",Submission!$O:$O,Submission!$H:$N,""))</f>
        <v/>
      </c>
      <c r="D485" s="414"/>
      <c r="E485" s="414"/>
      <c r="F485" s="414"/>
      <c r="G485" s="364"/>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4" t="str">
        <f>_xlfn.CONCAT(_xlfn.XLOOKUP("[S05_DefaultValues][284][InstallationCategory]",Submission!$O:$O,Submission!$H:$N,""))</f>
        <v/>
      </c>
      <c r="D486" s="414"/>
      <c r="E486" s="414"/>
      <c r="F486" s="414"/>
      <c r="G486" s="364"/>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4" t="str">
        <f>_xlfn.CONCAT(_xlfn.XLOOKUP("[S05_DefaultValues][285][InstallationCategory]",Submission!$O:$O,Submission!$H:$N,""))</f>
        <v/>
      </c>
      <c r="D487" s="414"/>
      <c r="E487" s="414"/>
      <c r="F487" s="414"/>
      <c r="G487" s="364"/>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4" t="str">
        <f>_xlfn.CONCAT(_xlfn.XLOOKUP("[S05_DefaultValues][286][InstallationCategory]",Submission!$O:$O,Submission!$H:$N,""))</f>
        <v/>
      </c>
      <c r="D488" s="414"/>
      <c r="E488" s="414"/>
      <c r="F488" s="414"/>
      <c r="G488" s="364"/>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4" t="str">
        <f>_xlfn.CONCAT(_xlfn.XLOOKUP("[S05_DefaultValues][287][InstallationCategory]",Submission!$O:$O,Submission!$H:$N,""))</f>
        <v/>
      </c>
      <c r="D489" s="414"/>
      <c r="E489" s="414"/>
      <c r="F489" s="414"/>
      <c r="G489" s="364"/>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4" t="str">
        <f>_xlfn.CONCAT(_xlfn.XLOOKUP("[S05_DefaultValues][288][InstallationCategory]",Submission!$O:$O,Submission!$H:$N,""))</f>
        <v/>
      </c>
      <c r="D490" s="414"/>
      <c r="E490" s="414"/>
      <c r="F490" s="414"/>
      <c r="G490" s="364"/>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4" t="str">
        <f>_xlfn.CONCAT(_xlfn.XLOOKUP("[S05_DefaultValues][289][InstallationCategory]",Submission!$O:$O,Submission!$H:$N,""))</f>
        <v/>
      </c>
      <c r="D491" s="414"/>
      <c r="E491" s="414"/>
      <c r="F491" s="414"/>
      <c r="G491" s="364"/>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4" t="str">
        <f>_xlfn.CONCAT(_xlfn.XLOOKUP("[S05_DefaultValues][290][InstallationCategory]",Submission!$O:$O,Submission!$H:$N,""))</f>
        <v/>
      </c>
      <c r="D492" s="414"/>
      <c r="E492" s="414"/>
      <c r="F492" s="414"/>
      <c r="G492" s="364"/>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4" t="str">
        <f>_xlfn.CONCAT(_xlfn.XLOOKUP("[S05_DefaultValues][291][InstallationCategory]",Submission!$O:$O,Submission!$H:$N,""))</f>
        <v/>
      </c>
      <c r="D493" s="414"/>
      <c r="E493" s="414"/>
      <c r="F493" s="414"/>
      <c r="G493" s="364"/>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4" t="str">
        <f>_xlfn.CONCAT(_xlfn.XLOOKUP("[S05_DefaultValues][292][InstallationCategory]",Submission!$O:$O,Submission!$H:$N,""))</f>
        <v/>
      </c>
      <c r="D494" s="414"/>
      <c r="E494" s="414"/>
      <c r="F494" s="414"/>
      <c r="G494" s="364"/>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4" t="str">
        <f>_xlfn.CONCAT(_xlfn.XLOOKUP("[S05_DefaultValues][293][InstallationCategory]",Submission!$O:$O,Submission!$H:$N,""))</f>
        <v/>
      </c>
      <c r="D495" s="414"/>
      <c r="E495" s="414"/>
      <c r="F495" s="414"/>
      <c r="G495" s="364"/>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4" t="str">
        <f>_xlfn.CONCAT(_xlfn.XLOOKUP("[S05_DefaultValues][294][InstallationCategory]",Submission!$O:$O,Submission!$H:$N,""))</f>
        <v/>
      </c>
      <c r="D496" s="414"/>
      <c r="E496" s="414"/>
      <c r="F496" s="414"/>
      <c r="G496" s="364"/>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4" t="str">
        <f>_xlfn.CONCAT(_xlfn.XLOOKUP("[S05_DefaultValues][295][InstallationCategory]",Submission!$O:$O,Submission!$H:$N,""))</f>
        <v/>
      </c>
      <c r="D497" s="414"/>
      <c r="E497" s="414"/>
      <c r="F497" s="414"/>
      <c r="G497" s="364"/>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4" t="str">
        <f>_xlfn.CONCAT(_xlfn.XLOOKUP("[S05_DefaultValues][296][InstallationCategory]",Submission!$O:$O,Submission!$H:$N,""))</f>
        <v/>
      </c>
      <c r="D498" s="414"/>
      <c r="E498" s="414"/>
      <c r="F498" s="414"/>
      <c r="G498" s="364"/>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4" t="str">
        <f>_xlfn.CONCAT(_xlfn.XLOOKUP("[S05_DefaultValues][297][InstallationCategory]",Submission!$O:$O,Submission!$H:$N,""))</f>
        <v/>
      </c>
      <c r="D499" s="414"/>
      <c r="E499" s="414"/>
      <c r="F499" s="414"/>
      <c r="G499" s="364"/>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4" t="str">
        <f>_xlfn.CONCAT(_xlfn.XLOOKUP("[S05_DefaultValues][298][InstallationCategory]",Submission!$O:$O,Submission!$H:$N,""))</f>
        <v/>
      </c>
      <c r="D500" s="414"/>
      <c r="E500" s="414"/>
      <c r="F500" s="414"/>
      <c r="G500" s="364"/>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4" t="str">
        <f>_xlfn.CONCAT(_xlfn.XLOOKUP("[S05_DefaultValues][299][InstallationCategory]",Submission!$O:$O,Submission!$H:$N,""))</f>
        <v/>
      </c>
      <c r="D501" s="414"/>
      <c r="E501" s="414"/>
      <c r="F501" s="414"/>
      <c r="G501" s="364"/>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4" t="str">
        <f>_xlfn.CONCAT(_xlfn.XLOOKUP("[S05_DefaultValues][300][InstallationCategory]",Submission!$O:$O,Submission!$H:$N,""))</f>
        <v/>
      </c>
      <c r="D502" s="414"/>
      <c r="E502" s="414"/>
      <c r="F502" s="414"/>
      <c r="G502" s="364"/>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4" t="str">
        <f>_xlfn.CONCAT(_xlfn.XLOOKUP("[S05_DefaultValues][301][InstallationCategory]",Submission!$O:$O,Submission!$H:$N,""))</f>
        <v/>
      </c>
      <c r="D503" s="414"/>
      <c r="E503" s="414"/>
      <c r="F503" s="414"/>
      <c r="G503" s="364"/>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4" t="str">
        <f>_xlfn.CONCAT(_xlfn.XLOOKUP("[S05_DefaultValues][302][InstallationCategory]",Submission!$O:$O,Submission!$H:$N,""))</f>
        <v/>
      </c>
      <c r="D504" s="414"/>
      <c r="E504" s="414"/>
      <c r="F504" s="414"/>
      <c r="G504" s="364"/>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4" t="str">
        <f>_xlfn.CONCAT(_xlfn.XLOOKUP("[S05_DefaultValues][303][InstallationCategory]",Submission!$O:$O,Submission!$H:$N,""))</f>
        <v/>
      </c>
      <c r="D505" s="414"/>
      <c r="E505" s="414"/>
      <c r="F505" s="414"/>
      <c r="G505" s="364"/>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4" t="str">
        <f>_xlfn.CONCAT(_xlfn.XLOOKUP("[S05_DefaultValues][304][InstallationCategory]",Submission!$O:$O,Submission!$H:$N,""))</f>
        <v/>
      </c>
      <c r="D506" s="414"/>
      <c r="E506" s="414"/>
      <c r="F506" s="414"/>
      <c r="G506" s="364"/>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4" t="str">
        <f>_xlfn.CONCAT(_xlfn.XLOOKUP("[S05_DefaultValues][305][InstallationCategory]",Submission!$O:$O,Submission!$H:$N,""))</f>
        <v/>
      </c>
      <c r="D507" s="414"/>
      <c r="E507" s="414"/>
      <c r="F507" s="414"/>
      <c r="G507" s="364"/>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4" t="str">
        <f>_xlfn.CONCAT(_xlfn.XLOOKUP("[S05_DefaultValues][306][InstallationCategory]",Submission!$O:$O,Submission!$H:$N,""))</f>
        <v/>
      </c>
      <c r="D508" s="414"/>
      <c r="E508" s="414"/>
      <c r="F508" s="414"/>
      <c r="G508" s="364"/>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4" t="str">
        <f>_xlfn.CONCAT(_xlfn.XLOOKUP("[S05_DefaultValues][307][InstallationCategory]",Submission!$O:$O,Submission!$H:$N,""))</f>
        <v/>
      </c>
      <c r="D509" s="414"/>
      <c r="E509" s="414"/>
      <c r="F509" s="414"/>
      <c r="G509" s="364"/>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4" t="str">
        <f>_xlfn.CONCAT(_xlfn.XLOOKUP("[S05_DefaultValues][308][InstallationCategory]",Submission!$O:$O,Submission!$H:$N,""))</f>
        <v/>
      </c>
      <c r="D510" s="414"/>
      <c r="E510" s="414"/>
      <c r="F510" s="414"/>
      <c r="G510" s="364"/>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4" t="str">
        <f>_xlfn.CONCAT(_xlfn.XLOOKUP("[S05_DefaultValues][309][InstallationCategory]",Submission!$O:$O,Submission!$H:$N,""))</f>
        <v/>
      </c>
      <c r="D511" s="414"/>
      <c r="E511" s="414"/>
      <c r="F511" s="414"/>
      <c r="G511" s="364"/>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4" t="str">
        <f>_xlfn.CONCAT(_xlfn.XLOOKUP("[S05_DefaultValues][310][InstallationCategory]",Submission!$O:$O,Submission!$H:$N,""))</f>
        <v/>
      </c>
      <c r="D512" s="414"/>
      <c r="E512" s="414"/>
      <c r="F512" s="414"/>
      <c r="G512" s="364"/>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4" t="str">
        <f>_xlfn.CONCAT(_xlfn.XLOOKUP("[S05_DefaultValues][311][InstallationCategory]",Submission!$O:$O,Submission!$H:$N,""))</f>
        <v/>
      </c>
      <c r="D513" s="414"/>
      <c r="E513" s="414"/>
      <c r="F513" s="414"/>
      <c r="G513" s="364"/>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4" t="str">
        <f>_xlfn.CONCAT(_xlfn.XLOOKUP("[S05_DefaultValues][312][InstallationCategory]",Submission!$O:$O,Submission!$H:$N,""))</f>
        <v/>
      </c>
      <c r="D514" s="414"/>
      <c r="E514" s="414"/>
      <c r="F514" s="414"/>
      <c r="G514" s="364"/>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4" t="str">
        <f>_xlfn.CONCAT(_xlfn.XLOOKUP("[S05_DefaultValues][313][InstallationCategory]",Submission!$O:$O,Submission!$H:$N,""))</f>
        <v/>
      </c>
      <c r="D515" s="414"/>
      <c r="E515" s="414"/>
      <c r="F515" s="414"/>
      <c r="G515" s="364"/>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4" t="str">
        <f>_xlfn.CONCAT(_xlfn.XLOOKUP("[S05_DefaultValues][314][InstallationCategory]",Submission!$O:$O,Submission!$H:$N,""))</f>
        <v/>
      </c>
      <c r="D516" s="414"/>
      <c r="E516" s="414"/>
      <c r="F516" s="414"/>
      <c r="G516" s="364"/>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4" t="str">
        <f>_xlfn.CONCAT(_xlfn.XLOOKUP("[S05_DefaultValues][315][InstallationCategory]",Submission!$O:$O,Submission!$H:$N,""))</f>
        <v/>
      </c>
      <c r="D517" s="414"/>
      <c r="E517" s="414"/>
      <c r="F517" s="414"/>
      <c r="G517" s="364"/>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4" t="str">
        <f>_xlfn.CONCAT(_xlfn.XLOOKUP("[S05_DefaultValues][316][InstallationCategory]",Submission!$O:$O,Submission!$H:$N,""))</f>
        <v/>
      </c>
      <c r="D518" s="414"/>
      <c r="E518" s="414"/>
      <c r="F518" s="414"/>
      <c r="G518" s="364"/>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4" t="str">
        <f>_xlfn.CONCAT(_xlfn.XLOOKUP("[S05_DefaultValues][317][InstallationCategory]",Submission!$O:$O,Submission!$H:$N,""))</f>
        <v/>
      </c>
      <c r="D519" s="414"/>
      <c r="E519" s="414"/>
      <c r="F519" s="414"/>
      <c r="G519" s="364"/>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4" t="str">
        <f>_xlfn.CONCAT(_xlfn.XLOOKUP("[S05_DefaultValues][318][InstallationCategory]",Submission!$O:$O,Submission!$H:$N,""))</f>
        <v/>
      </c>
      <c r="D520" s="414"/>
      <c r="E520" s="414"/>
      <c r="F520" s="414"/>
      <c r="G520" s="364"/>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4" t="str">
        <f>_xlfn.CONCAT(_xlfn.XLOOKUP("[S05_DefaultValues][319][InstallationCategory]",Submission!$O:$O,Submission!$H:$N,""))</f>
        <v/>
      </c>
      <c r="D521" s="414"/>
      <c r="E521" s="414"/>
      <c r="F521" s="414"/>
      <c r="G521" s="364"/>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4" t="str">
        <f>_xlfn.CONCAT(_xlfn.XLOOKUP("[S05_DefaultValues][320][InstallationCategory]",Submission!$O:$O,Submission!$H:$N,""))</f>
        <v/>
      </c>
      <c r="D522" s="414"/>
      <c r="E522" s="414"/>
      <c r="F522" s="414"/>
      <c r="G522" s="364"/>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4" t="str">
        <f>_xlfn.CONCAT(_xlfn.XLOOKUP("[S05_DefaultValues][321][InstallationCategory]",Submission!$O:$O,Submission!$H:$N,""))</f>
        <v/>
      </c>
      <c r="D523" s="414"/>
      <c r="E523" s="414"/>
      <c r="F523" s="414"/>
      <c r="G523" s="364"/>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4" t="str">
        <f>_xlfn.CONCAT(_xlfn.XLOOKUP("[S05_DefaultValues][322][InstallationCategory]",Submission!$O:$O,Submission!$H:$N,""))</f>
        <v/>
      </c>
      <c r="D524" s="414"/>
      <c r="E524" s="414"/>
      <c r="F524" s="414"/>
      <c r="G524" s="364"/>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4" t="str">
        <f>_xlfn.CONCAT(_xlfn.XLOOKUP("[S05_DefaultValues][323][InstallationCategory]",Submission!$O:$O,Submission!$H:$N,""))</f>
        <v/>
      </c>
      <c r="D525" s="414"/>
      <c r="E525" s="414"/>
      <c r="F525" s="414"/>
      <c r="G525" s="364"/>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4" t="str">
        <f>_xlfn.CONCAT(_xlfn.XLOOKUP("[S05_DefaultValues][324][InstallationCategory]",Submission!$O:$O,Submission!$H:$N,""))</f>
        <v/>
      </c>
      <c r="D526" s="414"/>
      <c r="E526" s="414"/>
      <c r="F526" s="414"/>
      <c r="G526" s="364"/>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4" t="str">
        <f>_xlfn.CONCAT(_xlfn.XLOOKUP("[S05_DefaultValues][325][InstallationCategory]",Submission!$O:$O,Submission!$H:$N,""))</f>
        <v/>
      </c>
      <c r="D527" s="414"/>
      <c r="E527" s="414"/>
      <c r="F527" s="414"/>
      <c r="G527" s="364"/>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4" t="str">
        <f>_xlfn.CONCAT(_xlfn.XLOOKUP("[S05_DefaultValues][326][InstallationCategory]",Submission!$O:$O,Submission!$H:$N,""))</f>
        <v/>
      </c>
      <c r="D528" s="414"/>
      <c r="E528" s="414"/>
      <c r="F528" s="414"/>
      <c r="G528" s="364"/>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4" t="str">
        <f>_xlfn.CONCAT(_xlfn.XLOOKUP("[S05_DefaultValues][327][InstallationCategory]",Submission!$O:$O,Submission!$H:$N,""))</f>
        <v/>
      </c>
      <c r="D529" s="414"/>
      <c r="E529" s="414"/>
      <c r="F529" s="414"/>
      <c r="G529" s="364"/>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4" t="str">
        <f>_xlfn.CONCAT(_xlfn.XLOOKUP("[S05_DefaultValues][328][InstallationCategory]",Submission!$O:$O,Submission!$H:$N,""))</f>
        <v/>
      </c>
      <c r="D530" s="414"/>
      <c r="E530" s="414"/>
      <c r="F530" s="414"/>
      <c r="G530" s="364"/>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4" t="str">
        <f>_xlfn.CONCAT(_xlfn.XLOOKUP("[S05_DefaultValues][329][InstallationCategory]",Submission!$O:$O,Submission!$H:$N,""))</f>
        <v/>
      </c>
      <c r="D531" s="414"/>
      <c r="E531" s="414"/>
      <c r="F531" s="414"/>
      <c r="G531" s="364"/>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4" t="str">
        <f>_xlfn.CONCAT(_xlfn.XLOOKUP("[S05_DefaultValues][330][InstallationCategory]",Submission!$O:$O,Submission!$H:$N,""))</f>
        <v/>
      </c>
      <c r="D532" s="414"/>
      <c r="E532" s="414"/>
      <c r="F532" s="414"/>
      <c r="G532" s="364"/>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4" t="str">
        <f>_xlfn.CONCAT(_xlfn.XLOOKUP("[S05_DefaultValues][331][InstallationCategory]",Submission!$O:$O,Submission!$H:$N,""))</f>
        <v/>
      </c>
      <c r="D533" s="414"/>
      <c r="E533" s="414"/>
      <c r="F533" s="414"/>
      <c r="G533" s="364"/>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4" t="str">
        <f>_xlfn.CONCAT(_xlfn.XLOOKUP("[S05_DefaultValues][332][InstallationCategory]",Submission!$O:$O,Submission!$H:$N,""))</f>
        <v/>
      </c>
      <c r="D534" s="414"/>
      <c r="E534" s="414"/>
      <c r="F534" s="414"/>
      <c r="G534" s="364"/>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4" t="str">
        <f>_xlfn.CONCAT(_xlfn.XLOOKUP("[S05_DefaultValues][333][InstallationCategory]",Submission!$O:$O,Submission!$H:$N,""))</f>
        <v/>
      </c>
      <c r="D535" s="414"/>
      <c r="E535" s="414"/>
      <c r="F535" s="414"/>
      <c r="G535" s="364"/>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4" t="str">
        <f>_xlfn.CONCAT(_xlfn.XLOOKUP("[S05_DefaultValues][334][InstallationCategory]",Submission!$O:$O,Submission!$H:$N,""))</f>
        <v/>
      </c>
      <c r="D536" s="414"/>
      <c r="E536" s="414"/>
      <c r="F536" s="414"/>
      <c r="G536" s="364"/>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4" t="str">
        <f>_xlfn.CONCAT(_xlfn.XLOOKUP("[S05_DefaultValues][335][InstallationCategory]",Submission!$O:$O,Submission!$H:$N,""))</f>
        <v/>
      </c>
      <c r="D537" s="414"/>
      <c r="E537" s="414"/>
      <c r="F537" s="414"/>
      <c r="G537" s="364"/>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4" t="str">
        <f>_xlfn.CONCAT(_xlfn.XLOOKUP("[S05_DefaultValues][336][InstallationCategory]",Submission!$O:$O,Submission!$H:$N,""))</f>
        <v/>
      </c>
      <c r="D538" s="414"/>
      <c r="E538" s="414"/>
      <c r="F538" s="414"/>
      <c r="G538" s="364"/>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4" t="str">
        <f>_xlfn.CONCAT(_xlfn.XLOOKUP("[S05_DefaultValues][337][InstallationCategory]",Submission!$O:$O,Submission!$H:$N,""))</f>
        <v/>
      </c>
      <c r="D539" s="414"/>
      <c r="E539" s="414"/>
      <c r="F539" s="414"/>
      <c r="G539" s="364"/>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4" t="str">
        <f>_xlfn.CONCAT(_xlfn.XLOOKUP("[S05_DefaultValues][338][InstallationCategory]",Submission!$O:$O,Submission!$H:$N,""))</f>
        <v/>
      </c>
      <c r="D540" s="414"/>
      <c r="E540" s="414"/>
      <c r="F540" s="414"/>
      <c r="G540" s="364"/>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4" t="str">
        <f>_xlfn.CONCAT(_xlfn.XLOOKUP("[S05_DefaultValues][339][InstallationCategory]",Submission!$O:$O,Submission!$H:$N,""))</f>
        <v/>
      </c>
      <c r="D541" s="414"/>
      <c r="E541" s="414"/>
      <c r="F541" s="414"/>
      <c r="G541" s="364"/>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4" t="str">
        <f>_xlfn.CONCAT(_xlfn.XLOOKUP("[S05_DefaultValues][340][InstallationCategory]",Submission!$O:$O,Submission!$H:$N,""))</f>
        <v/>
      </c>
      <c r="D542" s="414"/>
      <c r="E542" s="414"/>
      <c r="F542" s="414"/>
      <c r="G542" s="364"/>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4" t="str">
        <f>_xlfn.CONCAT(_xlfn.XLOOKUP("[S05_DefaultValues][341][InstallationCategory]",Submission!$O:$O,Submission!$H:$N,""))</f>
        <v/>
      </c>
      <c r="D543" s="414"/>
      <c r="E543" s="414"/>
      <c r="F543" s="414"/>
      <c r="G543" s="364"/>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4" t="str">
        <f>_xlfn.CONCAT(_xlfn.XLOOKUP("[S05_DefaultValues][342][InstallationCategory]",Submission!$O:$O,Submission!$H:$N,""))</f>
        <v/>
      </c>
      <c r="D544" s="414"/>
      <c r="E544" s="414"/>
      <c r="F544" s="414"/>
      <c r="G544" s="364"/>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4" t="str">
        <f>_xlfn.CONCAT(_xlfn.XLOOKUP("[S05_DefaultValues][343][InstallationCategory]",Submission!$O:$O,Submission!$H:$N,""))</f>
        <v/>
      </c>
      <c r="D545" s="414"/>
      <c r="E545" s="414"/>
      <c r="F545" s="414"/>
      <c r="G545" s="364"/>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4" t="str">
        <f>_xlfn.CONCAT(_xlfn.XLOOKUP("[S05_DefaultValues][344][InstallationCategory]",Submission!$O:$O,Submission!$H:$N,""))</f>
        <v/>
      </c>
      <c r="D546" s="414"/>
      <c r="E546" s="414"/>
      <c r="F546" s="414"/>
      <c r="G546" s="364"/>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4" t="str">
        <f>_xlfn.CONCAT(_xlfn.XLOOKUP("[S05_DefaultValues][345][InstallationCategory]",Submission!$O:$O,Submission!$H:$N,""))</f>
        <v/>
      </c>
      <c r="D547" s="414"/>
      <c r="E547" s="414"/>
      <c r="F547" s="414"/>
      <c r="G547" s="364"/>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4" t="str">
        <f>_xlfn.CONCAT(_xlfn.XLOOKUP("[S05_DefaultValues][346][InstallationCategory]",Submission!$O:$O,Submission!$H:$N,""))</f>
        <v/>
      </c>
      <c r="D548" s="414"/>
      <c r="E548" s="414"/>
      <c r="F548" s="414"/>
      <c r="G548" s="364"/>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4" t="str">
        <f>_xlfn.CONCAT(_xlfn.XLOOKUP("[S05_DefaultValues][347][InstallationCategory]",Submission!$O:$O,Submission!$H:$N,""))</f>
        <v/>
      </c>
      <c r="D549" s="414"/>
      <c r="E549" s="414"/>
      <c r="F549" s="414"/>
      <c r="G549" s="364"/>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4" t="str">
        <f>_xlfn.CONCAT(_xlfn.XLOOKUP("[S05_DefaultValues][348][InstallationCategory]",Submission!$O:$O,Submission!$H:$N,""))</f>
        <v/>
      </c>
      <c r="D550" s="414"/>
      <c r="E550" s="414"/>
      <c r="F550" s="414"/>
      <c r="G550" s="364"/>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4" t="str">
        <f>_xlfn.CONCAT(_xlfn.XLOOKUP("[S05_DefaultValues][349][InstallationCategory]",Submission!$O:$O,Submission!$H:$N,""))</f>
        <v/>
      </c>
      <c r="D551" s="414"/>
      <c r="E551" s="414"/>
      <c r="F551" s="414"/>
      <c r="G551" s="364"/>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4" t="str">
        <f>_xlfn.CONCAT(_xlfn.XLOOKUP("[S05_DefaultValues][350][InstallationCategory]",Submission!$O:$O,Submission!$H:$N,""))</f>
        <v/>
      </c>
      <c r="D552" s="414"/>
      <c r="E552" s="414"/>
      <c r="F552" s="414"/>
      <c r="G552" s="364"/>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4" t="str">
        <f>_xlfn.CONCAT(_xlfn.XLOOKUP("[S05_DefaultValues][351][InstallationCategory]",Submission!$O:$O,Submission!$H:$N,""))</f>
        <v/>
      </c>
      <c r="D553" s="414"/>
      <c r="E553" s="414"/>
      <c r="F553" s="414"/>
      <c r="G553" s="364"/>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4" t="str">
        <f>_xlfn.CONCAT(_xlfn.XLOOKUP("[S05_DefaultValues][352][InstallationCategory]",Submission!$O:$O,Submission!$H:$N,""))</f>
        <v/>
      </c>
      <c r="D554" s="414"/>
      <c r="E554" s="414"/>
      <c r="F554" s="414"/>
      <c r="G554" s="364"/>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4" t="str">
        <f>_xlfn.CONCAT(_xlfn.XLOOKUP("[S05_DefaultValues][353][InstallationCategory]",Submission!$O:$O,Submission!$H:$N,""))</f>
        <v/>
      </c>
      <c r="D555" s="414"/>
      <c r="E555" s="414"/>
      <c r="F555" s="414"/>
      <c r="G555" s="364"/>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4" t="str">
        <f>_xlfn.CONCAT(_xlfn.XLOOKUP("[S05_DefaultValues][354][InstallationCategory]",Submission!$O:$O,Submission!$H:$N,""))</f>
        <v/>
      </c>
      <c r="D556" s="414"/>
      <c r="E556" s="414"/>
      <c r="F556" s="414"/>
      <c r="G556" s="364"/>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4" t="str">
        <f>_xlfn.CONCAT(_xlfn.XLOOKUP("[S05_DefaultValues][355][InstallationCategory]",Submission!$O:$O,Submission!$H:$N,""))</f>
        <v/>
      </c>
      <c r="D557" s="414"/>
      <c r="E557" s="414"/>
      <c r="F557" s="414"/>
      <c r="G557" s="364"/>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4" t="str">
        <f>_xlfn.CONCAT(_xlfn.XLOOKUP("[S05_DefaultValues][356][InstallationCategory]",Submission!$O:$O,Submission!$H:$N,""))</f>
        <v/>
      </c>
      <c r="D558" s="414"/>
      <c r="E558" s="414"/>
      <c r="F558" s="414"/>
      <c r="G558" s="364"/>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4" t="str">
        <f>_xlfn.CONCAT(_xlfn.XLOOKUP("[S05_DefaultValues][357][InstallationCategory]",Submission!$O:$O,Submission!$H:$N,""))</f>
        <v/>
      </c>
      <c r="D559" s="414"/>
      <c r="E559" s="414"/>
      <c r="F559" s="414"/>
      <c r="G559" s="364"/>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4" t="str">
        <f>_xlfn.CONCAT(_xlfn.XLOOKUP("[S05_DefaultValues][358][InstallationCategory]",Submission!$O:$O,Submission!$H:$N,""))</f>
        <v/>
      </c>
      <c r="D560" s="414"/>
      <c r="E560" s="414"/>
      <c r="F560" s="414"/>
      <c r="G560" s="364"/>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4" t="str">
        <f>_xlfn.CONCAT(_xlfn.XLOOKUP("[S05_DefaultValues][359][InstallationCategory]",Submission!$O:$O,Submission!$H:$N,""))</f>
        <v/>
      </c>
      <c r="D561" s="414"/>
      <c r="E561" s="414"/>
      <c r="F561" s="414"/>
      <c r="G561" s="364"/>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4" t="str">
        <f>_xlfn.CONCAT(_xlfn.XLOOKUP("[S05_DefaultValues][360][InstallationCategory]",Submission!$O:$O,Submission!$H:$N,""))</f>
        <v/>
      </c>
      <c r="D562" s="414"/>
      <c r="E562" s="414"/>
      <c r="F562" s="414"/>
      <c r="G562" s="364"/>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4" t="str">
        <f>_xlfn.CONCAT(_xlfn.XLOOKUP("[S05_DefaultValues][361][InstallationCategory]",Submission!$O:$O,Submission!$H:$N,""))</f>
        <v/>
      </c>
      <c r="D563" s="414"/>
      <c r="E563" s="414"/>
      <c r="F563" s="414"/>
      <c r="G563" s="364"/>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4" t="str">
        <f>_xlfn.CONCAT(_xlfn.XLOOKUP("[S05_DefaultValues][362][InstallationCategory]",Submission!$O:$O,Submission!$H:$N,""))</f>
        <v/>
      </c>
      <c r="D564" s="414"/>
      <c r="E564" s="414"/>
      <c r="F564" s="414"/>
      <c r="G564" s="364"/>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4" t="str">
        <f>_xlfn.CONCAT(_xlfn.XLOOKUP("[S05_DefaultValues][363][InstallationCategory]",Submission!$O:$O,Submission!$H:$N,""))</f>
        <v/>
      </c>
      <c r="D565" s="414"/>
      <c r="E565" s="414"/>
      <c r="F565" s="414"/>
      <c r="G565" s="364"/>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4" t="str">
        <f>_xlfn.CONCAT(_xlfn.XLOOKUP("[S05_DefaultValues][364][InstallationCategory]",Submission!$O:$O,Submission!$H:$N,""))</f>
        <v/>
      </c>
      <c r="D566" s="414"/>
      <c r="E566" s="414"/>
      <c r="F566" s="414"/>
      <c r="G566" s="364"/>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4" t="str">
        <f>_xlfn.CONCAT(_xlfn.XLOOKUP("[S05_DefaultValues][365][InstallationCategory]",Submission!$O:$O,Submission!$H:$N,""))</f>
        <v/>
      </c>
      <c r="D567" s="414"/>
      <c r="E567" s="414"/>
      <c r="F567" s="414"/>
      <c r="G567" s="364"/>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4" t="str">
        <f>_xlfn.CONCAT(_xlfn.XLOOKUP("[S05_DefaultValues][366][InstallationCategory]",Submission!$O:$O,Submission!$H:$N,""))</f>
        <v/>
      </c>
      <c r="D568" s="414"/>
      <c r="E568" s="414"/>
      <c r="F568" s="414"/>
      <c r="G568" s="364"/>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4" t="str">
        <f>_xlfn.CONCAT(_xlfn.XLOOKUP("[S05_DefaultValues][367][InstallationCategory]",Submission!$O:$O,Submission!$H:$N,""))</f>
        <v/>
      </c>
      <c r="D569" s="414"/>
      <c r="E569" s="414"/>
      <c r="F569" s="414"/>
      <c r="G569" s="364"/>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4" t="str">
        <f>_xlfn.CONCAT(_xlfn.XLOOKUP("[S05_DefaultValues][368][InstallationCategory]",Submission!$O:$O,Submission!$H:$N,""))</f>
        <v/>
      </c>
      <c r="D570" s="414"/>
      <c r="E570" s="414"/>
      <c r="F570" s="414"/>
      <c r="G570" s="364"/>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4" t="str">
        <f>_xlfn.CONCAT(_xlfn.XLOOKUP("[S05_DefaultValues][369][InstallationCategory]",Submission!$O:$O,Submission!$H:$N,""))</f>
        <v/>
      </c>
      <c r="D571" s="414"/>
      <c r="E571" s="414"/>
      <c r="F571" s="414"/>
      <c r="G571" s="364"/>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4" t="str">
        <f>_xlfn.CONCAT(_xlfn.XLOOKUP("[S05_DefaultValues][370][InstallationCategory]",Submission!$O:$O,Submission!$H:$N,""))</f>
        <v/>
      </c>
      <c r="D572" s="414"/>
      <c r="E572" s="414"/>
      <c r="F572" s="414"/>
      <c r="G572" s="364"/>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4" t="str">
        <f>_xlfn.CONCAT(_xlfn.XLOOKUP("[S05_DefaultValues][371][InstallationCategory]",Submission!$O:$O,Submission!$H:$N,""))</f>
        <v/>
      </c>
      <c r="D573" s="414"/>
      <c r="E573" s="414"/>
      <c r="F573" s="414"/>
      <c r="G573" s="364"/>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4" t="str">
        <f>_xlfn.CONCAT(_xlfn.XLOOKUP("[S05_DefaultValues][372][InstallationCategory]",Submission!$O:$O,Submission!$H:$N,""))</f>
        <v/>
      </c>
      <c r="D574" s="414"/>
      <c r="E574" s="414"/>
      <c r="F574" s="414"/>
      <c r="G574" s="364"/>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4" t="str">
        <f>_xlfn.CONCAT(_xlfn.XLOOKUP("[S05_DefaultValues][373][InstallationCategory]",Submission!$O:$O,Submission!$H:$N,""))</f>
        <v/>
      </c>
      <c r="D575" s="414"/>
      <c r="E575" s="414"/>
      <c r="F575" s="414"/>
      <c r="G575" s="364"/>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4" t="str">
        <f>_xlfn.CONCAT(_xlfn.XLOOKUP("[S05_DefaultValues][374][InstallationCategory]",Submission!$O:$O,Submission!$H:$N,""))</f>
        <v/>
      </c>
      <c r="D576" s="414"/>
      <c r="E576" s="414"/>
      <c r="F576" s="414"/>
      <c r="G576" s="364"/>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4" t="str">
        <f>_xlfn.CONCAT(_xlfn.XLOOKUP("[S05_DefaultValues][375][InstallationCategory]",Submission!$O:$O,Submission!$H:$N,""))</f>
        <v/>
      </c>
      <c r="D577" s="414"/>
      <c r="E577" s="414"/>
      <c r="F577" s="414"/>
      <c r="G577" s="364"/>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4" t="str">
        <f>_xlfn.CONCAT(_xlfn.XLOOKUP("[S05_DefaultValues][376][InstallationCategory]",Submission!$O:$O,Submission!$H:$N,""))</f>
        <v/>
      </c>
      <c r="D578" s="414"/>
      <c r="E578" s="414"/>
      <c r="F578" s="414"/>
      <c r="G578" s="364"/>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4" t="str">
        <f>_xlfn.CONCAT(_xlfn.XLOOKUP("[S05_DefaultValues][377][InstallationCategory]",Submission!$O:$O,Submission!$H:$N,""))</f>
        <v/>
      </c>
      <c r="D579" s="414"/>
      <c r="E579" s="414"/>
      <c r="F579" s="414"/>
      <c r="G579" s="364"/>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4" t="str">
        <f>_xlfn.CONCAT(_xlfn.XLOOKUP("[S05_DefaultValues][378][InstallationCategory]",Submission!$O:$O,Submission!$H:$N,""))</f>
        <v/>
      </c>
      <c r="D580" s="414"/>
      <c r="E580" s="414"/>
      <c r="F580" s="414"/>
      <c r="G580" s="364"/>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4" t="str">
        <f>_xlfn.CONCAT(_xlfn.XLOOKUP("[S05_DefaultValues][379][InstallationCategory]",Submission!$O:$O,Submission!$H:$N,""))</f>
        <v/>
      </c>
      <c r="D581" s="414"/>
      <c r="E581" s="414"/>
      <c r="F581" s="414"/>
      <c r="G581" s="364"/>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4" t="str">
        <f>_xlfn.CONCAT(_xlfn.XLOOKUP("[S05_DefaultValues][380][InstallationCategory]",Submission!$O:$O,Submission!$H:$N,""))</f>
        <v/>
      </c>
      <c r="D582" s="414"/>
      <c r="E582" s="414"/>
      <c r="F582" s="414"/>
      <c r="G582" s="364"/>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4" t="str">
        <f>_xlfn.CONCAT(_xlfn.XLOOKUP("[S05_DefaultValues][381][InstallationCategory]",Submission!$O:$O,Submission!$H:$N,""))</f>
        <v/>
      </c>
      <c r="D583" s="414"/>
      <c r="E583" s="414"/>
      <c r="F583" s="414"/>
      <c r="G583" s="364"/>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4" t="str">
        <f>_xlfn.CONCAT(_xlfn.XLOOKUP("[S05_DefaultValues][382][InstallationCategory]",Submission!$O:$O,Submission!$H:$N,""))</f>
        <v/>
      </c>
      <c r="D584" s="414"/>
      <c r="E584" s="414"/>
      <c r="F584" s="414"/>
      <c r="G584" s="364"/>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4" t="str">
        <f>_xlfn.CONCAT(_xlfn.XLOOKUP("[S05_DefaultValues][383][InstallationCategory]",Submission!$O:$O,Submission!$H:$N,""))</f>
        <v/>
      </c>
      <c r="D585" s="414"/>
      <c r="E585" s="414"/>
      <c r="F585" s="414"/>
      <c r="G585" s="364"/>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4" t="str">
        <f>_xlfn.CONCAT(_xlfn.XLOOKUP("[S05_DefaultValues][384][InstallationCategory]",Submission!$O:$O,Submission!$H:$N,""))</f>
        <v/>
      </c>
      <c r="D586" s="414"/>
      <c r="E586" s="414"/>
      <c r="F586" s="414"/>
      <c r="G586" s="364"/>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4" t="str">
        <f>_xlfn.CONCAT(_xlfn.XLOOKUP("[S05_DefaultValues][385][InstallationCategory]",Submission!$O:$O,Submission!$H:$N,""))</f>
        <v/>
      </c>
      <c r="D587" s="414"/>
      <c r="E587" s="414"/>
      <c r="F587" s="414"/>
      <c r="G587" s="364"/>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4" t="str">
        <f>_xlfn.CONCAT(_xlfn.XLOOKUP("[S05_DefaultValues][386][InstallationCategory]",Submission!$O:$O,Submission!$H:$N,""))</f>
        <v/>
      </c>
      <c r="D588" s="414"/>
      <c r="E588" s="414"/>
      <c r="F588" s="414"/>
      <c r="G588" s="364"/>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4" t="str">
        <f>_xlfn.CONCAT(_xlfn.XLOOKUP("[S05_DefaultValues][387][InstallationCategory]",Submission!$O:$O,Submission!$H:$N,""))</f>
        <v/>
      </c>
      <c r="D589" s="414"/>
      <c r="E589" s="414"/>
      <c r="F589" s="414"/>
      <c r="G589" s="364"/>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4" t="str">
        <f>_xlfn.CONCAT(_xlfn.XLOOKUP("[S05_DefaultValues][388][InstallationCategory]",Submission!$O:$O,Submission!$H:$N,""))</f>
        <v/>
      </c>
      <c r="D590" s="414"/>
      <c r="E590" s="414"/>
      <c r="F590" s="414"/>
      <c r="G590" s="364"/>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4" t="str">
        <f>_xlfn.CONCAT(_xlfn.XLOOKUP("[S05_DefaultValues][389][InstallationCategory]",Submission!$O:$O,Submission!$H:$N,""))</f>
        <v/>
      </c>
      <c r="D591" s="414"/>
      <c r="E591" s="414"/>
      <c r="F591" s="414"/>
      <c r="G591" s="364"/>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4" t="str">
        <f>_xlfn.CONCAT(_xlfn.XLOOKUP("[S05_DefaultValues][390][InstallationCategory]",Submission!$O:$O,Submission!$H:$N,""))</f>
        <v/>
      </c>
      <c r="D592" s="414"/>
      <c r="E592" s="414"/>
      <c r="F592" s="414"/>
      <c r="G592" s="364"/>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4" t="str">
        <f>_xlfn.CONCAT(_xlfn.XLOOKUP("[S05_DefaultValues][391][InstallationCategory]",Submission!$O:$O,Submission!$H:$N,""))</f>
        <v/>
      </c>
      <c r="D593" s="414"/>
      <c r="E593" s="414"/>
      <c r="F593" s="414"/>
      <c r="G593" s="364"/>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4" t="str">
        <f>_xlfn.CONCAT(_xlfn.XLOOKUP("[S05_DefaultValues][392][InstallationCategory]",Submission!$O:$O,Submission!$H:$N,""))</f>
        <v/>
      </c>
      <c r="D594" s="414"/>
      <c r="E594" s="414"/>
      <c r="F594" s="414"/>
      <c r="G594" s="364"/>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4" t="str">
        <f>_xlfn.CONCAT(_xlfn.XLOOKUP("[S05_DefaultValues][393][InstallationCategory]",Submission!$O:$O,Submission!$H:$N,""))</f>
        <v/>
      </c>
      <c r="D595" s="414"/>
      <c r="E595" s="414"/>
      <c r="F595" s="414"/>
      <c r="G595" s="364"/>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4" t="str">
        <f>_xlfn.CONCAT(_xlfn.XLOOKUP("[S05_DefaultValues][394][InstallationCategory]",Submission!$O:$O,Submission!$H:$N,""))</f>
        <v/>
      </c>
      <c r="D596" s="414"/>
      <c r="E596" s="414"/>
      <c r="F596" s="414"/>
      <c r="G596" s="364"/>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4" t="str">
        <f>_xlfn.CONCAT(_xlfn.XLOOKUP("[S05_DefaultValues][395][InstallationCategory]",Submission!$O:$O,Submission!$H:$N,""))</f>
        <v/>
      </c>
      <c r="D597" s="414"/>
      <c r="E597" s="414"/>
      <c r="F597" s="414"/>
      <c r="G597" s="364"/>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4" t="str">
        <f>_xlfn.CONCAT(_xlfn.XLOOKUP("[S05_DefaultValues][396][InstallationCategory]",Submission!$O:$O,Submission!$H:$N,""))</f>
        <v/>
      </c>
      <c r="D598" s="414"/>
      <c r="E598" s="414"/>
      <c r="F598" s="414"/>
      <c r="G598" s="364"/>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4" t="str">
        <f>_xlfn.CONCAT(_xlfn.XLOOKUP("[S05_DefaultValues][397][InstallationCategory]",Submission!$O:$O,Submission!$H:$N,""))</f>
        <v/>
      </c>
      <c r="D599" s="414"/>
      <c r="E599" s="414"/>
      <c r="F599" s="414"/>
      <c r="G599" s="364"/>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4" t="str">
        <f>_xlfn.CONCAT(_xlfn.XLOOKUP("[S05_DefaultValues][398][InstallationCategory]",Submission!$O:$O,Submission!$H:$N,""))</f>
        <v/>
      </c>
      <c r="D600" s="414"/>
      <c r="E600" s="414"/>
      <c r="F600" s="414"/>
      <c r="G600" s="364"/>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4" t="str">
        <f>_xlfn.CONCAT(_xlfn.XLOOKUP("[S05_DefaultValues][399][InstallationCategory]",Submission!$O:$O,Submission!$H:$N,""))</f>
        <v/>
      </c>
      <c r="D601" s="414"/>
      <c r="E601" s="414"/>
      <c r="F601" s="414"/>
      <c r="G601" s="364"/>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4" t="str">
        <f>_xlfn.CONCAT(_xlfn.XLOOKUP("[S05_DefaultValues][400][InstallationCategory]",Submission!$O:$O,Submission!$H:$N,""))</f>
        <v/>
      </c>
      <c r="D602" s="414"/>
      <c r="E602" s="414"/>
      <c r="F602" s="414"/>
      <c r="G602" s="364"/>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4" t="str">
        <f>_xlfn.CONCAT(_xlfn.XLOOKUP("[S05_DefaultValues][401][InstallationCategory]",Submission!$O:$O,Submission!$H:$N,""))</f>
        <v/>
      </c>
      <c r="D603" s="414"/>
      <c r="E603" s="414"/>
      <c r="F603" s="414"/>
      <c r="G603" s="364"/>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4" t="str">
        <f>_xlfn.CONCAT(_xlfn.XLOOKUP("[S05_DefaultValues][402][InstallationCategory]",Submission!$O:$O,Submission!$H:$N,""))</f>
        <v/>
      </c>
      <c r="D604" s="414"/>
      <c r="E604" s="414"/>
      <c r="F604" s="414"/>
      <c r="G604" s="364"/>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4" t="str">
        <f>_xlfn.CONCAT(_xlfn.XLOOKUP("[S05_DefaultValues][403][InstallationCategory]",Submission!$O:$O,Submission!$H:$N,""))</f>
        <v/>
      </c>
      <c r="D605" s="414"/>
      <c r="E605" s="414"/>
      <c r="F605" s="414"/>
      <c r="G605" s="364"/>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4" t="str">
        <f>_xlfn.CONCAT(_xlfn.XLOOKUP("[S05_DefaultValues][404][InstallationCategory]",Submission!$O:$O,Submission!$H:$N,""))</f>
        <v/>
      </c>
      <c r="D606" s="414"/>
      <c r="E606" s="414"/>
      <c r="F606" s="414"/>
      <c r="G606" s="364"/>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4" t="str">
        <f>_xlfn.CONCAT(_xlfn.XLOOKUP("[S05_DefaultValues][405][InstallationCategory]",Submission!$O:$O,Submission!$H:$N,""))</f>
        <v/>
      </c>
      <c r="D607" s="414"/>
      <c r="E607" s="414"/>
      <c r="F607" s="414"/>
      <c r="G607" s="364"/>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4" t="str">
        <f>_xlfn.CONCAT(_xlfn.XLOOKUP("[S05_DefaultValues][406][InstallationCategory]",Submission!$O:$O,Submission!$H:$N,""))</f>
        <v/>
      </c>
      <c r="D608" s="414"/>
      <c r="E608" s="414"/>
      <c r="F608" s="414"/>
      <c r="G608" s="364"/>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4" t="str">
        <f>_xlfn.CONCAT(_xlfn.XLOOKUP("[S05_DefaultValues][407][InstallationCategory]",Submission!$O:$O,Submission!$H:$N,""))</f>
        <v/>
      </c>
      <c r="D609" s="414"/>
      <c r="E609" s="414"/>
      <c r="F609" s="414"/>
      <c r="G609" s="364"/>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4" t="str">
        <f>_xlfn.CONCAT(_xlfn.XLOOKUP("[S05_DefaultValues][408][InstallationCategory]",Submission!$O:$O,Submission!$H:$N,""))</f>
        <v/>
      </c>
      <c r="D610" s="414"/>
      <c r="E610" s="414"/>
      <c r="F610" s="414"/>
      <c r="G610" s="364"/>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4" t="str">
        <f>_xlfn.CONCAT(_xlfn.XLOOKUP("[S05_DefaultValues][409][InstallationCategory]",Submission!$O:$O,Submission!$H:$N,""))</f>
        <v/>
      </c>
      <c r="D611" s="414"/>
      <c r="E611" s="414"/>
      <c r="F611" s="414"/>
      <c r="G611" s="364"/>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4" t="str">
        <f>_xlfn.CONCAT(_xlfn.XLOOKUP("[S05_DefaultValues][410][InstallationCategory]",Submission!$O:$O,Submission!$H:$N,""))</f>
        <v/>
      </c>
      <c r="D612" s="414"/>
      <c r="E612" s="414"/>
      <c r="F612" s="414"/>
      <c r="G612" s="364"/>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4" t="str">
        <f>_xlfn.CONCAT(_xlfn.XLOOKUP("[S05_DefaultValues][411][InstallationCategory]",Submission!$O:$O,Submission!$H:$N,""))</f>
        <v/>
      </c>
      <c r="D613" s="414"/>
      <c r="E613" s="414"/>
      <c r="F613" s="414"/>
      <c r="G613" s="364"/>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4" t="str">
        <f>_xlfn.CONCAT(_xlfn.XLOOKUP("[S05_DefaultValues][412][InstallationCategory]",Submission!$O:$O,Submission!$H:$N,""))</f>
        <v/>
      </c>
      <c r="D614" s="414"/>
      <c r="E614" s="414"/>
      <c r="F614" s="414"/>
      <c r="G614" s="364"/>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4" t="str">
        <f>_xlfn.CONCAT(_xlfn.XLOOKUP("[S05_DefaultValues][413][InstallationCategory]",Submission!$O:$O,Submission!$H:$N,""))</f>
        <v/>
      </c>
      <c r="D615" s="414"/>
      <c r="E615" s="414"/>
      <c r="F615" s="414"/>
      <c r="G615" s="364"/>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4" t="str">
        <f>_xlfn.CONCAT(_xlfn.XLOOKUP("[S05_DefaultValues][414][InstallationCategory]",Submission!$O:$O,Submission!$H:$N,""))</f>
        <v/>
      </c>
      <c r="D616" s="414"/>
      <c r="E616" s="414"/>
      <c r="F616" s="414"/>
      <c r="G616" s="364"/>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4" t="str">
        <f>_xlfn.CONCAT(_xlfn.XLOOKUP("[S05_DefaultValues][415][InstallationCategory]",Submission!$O:$O,Submission!$H:$N,""))</f>
        <v/>
      </c>
      <c r="D617" s="414"/>
      <c r="E617" s="414"/>
      <c r="F617" s="414"/>
      <c r="G617" s="364"/>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4" t="str">
        <f>_xlfn.CONCAT(_xlfn.XLOOKUP("[S05_DefaultValues][416][InstallationCategory]",Submission!$O:$O,Submission!$H:$N,""))</f>
        <v/>
      </c>
      <c r="D618" s="414"/>
      <c r="E618" s="414"/>
      <c r="F618" s="414"/>
      <c r="G618" s="364"/>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4" t="str">
        <f>_xlfn.CONCAT(_xlfn.XLOOKUP("[S05_DefaultValues][417][InstallationCategory]",Submission!$O:$O,Submission!$H:$N,""))</f>
        <v/>
      </c>
      <c r="D619" s="414"/>
      <c r="E619" s="414"/>
      <c r="F619" s="414"/>
      <c r="G619" s="364"/>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4" t="str">
        <f>_xlfn.CONCAT(_xlfn.XLOOKUP("[S05_DefaultValues][418][InstallationCategory]",Submission!$O:$O,Submission!$H:$N,""))</f>
        <v/>
      </c>
      <c r="D620" s="414"/>
      <c r="E620" s="414"/>
      <c r="F620" s="414"/>
      <c r="G620" s="364"/>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4" t="str">
        <f>_xlfn.CONCAT(_xlfn.XLOOKUP("[S05_DefaultValues][419][InstallationCategory]",Submission!$O:$O,Submission!$H:$N,""))</f>
        <v/>
      </c>
      <c r="D621" s="414"/>
      <c r="E621" s="414"/>
      <c r="F621" s="414"/>
      <c r="G621" s="364"/>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4" t="str">
        <f>_xlfn.CONCAT(_xlfn.XLOOKUP("[S05_DefaultValues][420][InstallationCategory]",Submission!$O:$O,Submission!$H:$N,""))</f>
        <v/>
      </c>
      <c r="D622" s="414"/>
      <c r="E622" s="414"/>
      <c r="F622" s="414"/>
      <c r="G622" s="364"/>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4" t="str">
        <f>_xlfn.CONCAT(_xlfn.XLOOKUP("[S05_DefaultValues][421][InstallationCategory]",Submission!$O:$O,Submission!$H:$N,""))</f>
        <v/>
      </c>
      <c r="D623" s="414"/>
      <c r="E623" s="414"/>
      <c r="F623" s="414"/>
      <c r="G623" s="364"/>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4" t="str">
        <f>_xlfn.CONCAT(_xlfn.XLOOKUP("[S05_DefaultValues][422][InstallationCategory]",Submission!$O:$O,Submission!$H:$N,""))</f>
        <v/>
      </c>
      <c r="D624" s="414"/>
      <c r="E624" s="414"/>
      <c r="F624" s="414"/>
      <c r="G624" s="364"/>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4" t="str">
        <f>_xlfn.CONCAT(_xlfn.XLOOKUP("[S05_DefaultValues][423][InstallationCategory]",Submission!$O:$O,Submission!$H:$N,""))</f>
        <v/>
      </c>
      <c r="D625" s="414"/>
      <c r="E625" s="414"/>
      <c r="F625" s="414"/>
      <c r="G625" s="364"/>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4" t="str">
        <f>_xlfn.CONCAT(_xlfn.XLOOKUP("[S05_DefaultValues][424][InstallationCategory]",Submission!$O:$O,Submission!$H:$N,""))</f>
        <v/>
      </c>
      <c r="D626" s="414"/>
      <c r="E626" s="414"/>
      <c r="F626" s="414"/>
      <c r="G626" s="364"/>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4" t="str">
        <f>_xlfn.CONCAT(_xlfn.XLOOKUP("[S05_DefaultValues][425][InstallationCategory]",Submission!$O:$O,Submission!$H:$N,""))</f>
        <v/>
      </c>
      <c r="D627" s="414"/>
      <c r="E627" s="414"/>
      <c r="F627" s="414"/>
      <c r="G627" s="364"/>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4" t="str">
        <f>_xlfn.CONCAT(_xlfn.XLOOKUP("[S05_DefaultValues][426][InstallationCategory]",Submission!$O:$O,Submission!$H:$N,""))</f>
        <v/>
      </c>
      <c r="D628" s="414"/>
      <c r="E628" s="414"/>
      <c r="F628" s="414"/>
      <c r="G628" s="364"/>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4" t="str">
        <f>_xlfn.CONCAT(_xlfn.XLOOKUP("[S05_DefaultValues][427][InstallationCategory]",Submission!$O:$O,Submission!$H:$N,""))</f>
        <v/>
      </c>
      <c r="D629" s="414"/>
      <c r="E629" s="414"/>
      <c r="F629" s="414"/>
      <c r="G629" s="364"/>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4" t="str">
        <f>_xlfn.CONCAT(_xlfn.XLOOKUP("[S05_DefaultValues][428][InstallationCategory]",Submission!$O:$O,Submission!$H:$N,""))</f>
        <v/>
      </c>
      <c r="D630" s="414"/>
      <c r="E630" s="414"/>
      <c r="F630" s="414"/>
      <c r="G630" s="364"/>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4" t="str">
        <f>_xlfn.CONCAT(_xlfn.XLOOKUP("[S05_DefaultValues][429][InstallationCategory]",Submission!$O:$O,Submission!$H:$N,""))</f>
        <v/>
      </c>
      <c r="D631" s="414"/>
      <c r="E631" s="414"/>
      <c r="F631" s="414"/>
      <c r="G631" s="364"/>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4" t="str">
        <f>_xlfn.CONCAT(_xlfn.XLOOKUP("[S05_DefaultValues][430][InstallationCategory]",Submission!$O:$O,Submission!$H:$N,""))</f>
        <v/>
      </c>
      <c r="D632" s="414"/>
      <c r="E632" s="414"/>
      <c r="F632" s="414"/>
      <c r="G632" s="364"/>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4" t="str">
        <f>_xlfn.CONCAT(_xlfn.XLOOKUP("[S05_DefaultValues][431][InstallationCategory]",Submission!$O:$O,Submission!$H:$N,""))</f>
        <v/>
      </c>
      <c r="D633" s="414"/>
      <c r="E633" s="414"/>
      <c r="F633" s="414"/>
      <c r="G633" s="364"/>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4" t="str">
        <f>_xlfn.CONCAT(_xlfn.XLOOKUP("[S05_DefaultValues][432][InstallationCategory]",Submission!$O:$O,Submission!$H:$N,""))</f>
        <v/>
      </c>
      <c r="D634" s="414"/>
      <c r="E634" s="414"/>
      <c r="F634" s="414"/>
      <c r="G634" s="364"/>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4" t="str">
        <f>_xlfn.CONCAT(_xlfn.XLOOKUP("[S05_DefaultValues][433][InstallationCategory]",Submission!$O:$O,Submission!$H:$N,""))</f>
        <v/>
      </c>
      <c r="D635" s="414"/>
      <c r="E635" s="414"/>
      <c r="F635" s="414"/>
      <c r="G635" s="364"/>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4" t="str">
        <f>_xlfn.CONCAT(_xlfn.XLOOKUP("[S05_DefaultValues][434][InstallationCategory]",Submission!$O:$O,Submission!$H:$N,""))</f>
        <v/>
      </c>
      <c r="D636" s="414"/>
      <c r="E636" s="414"/>
      <c r="F636" s="414"/>
      <c r="G636" s="364"/>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4" t="str">
        <f>_xlfn.CONCAT(_xlfn.XLOOKUP("[S05_DefaultValues][435][InstallationCategory]",Submission!$O:$O,Submission!$H:$N,""))</f>
        <v/>
      </c>
      <c r="D637" s="414"/>
      <c r="E637" s="414"/>
      <c r="F637" s="414"/>
      <c r="G637" s="364"/>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4" t="str">
        <f>_xlfn.CONCAT(_xlfn.XLOOKUP("[S05_DefaultValues][436][InstallationCategory]",Submission!$O:$O,Submission!$H:$N,""))</f>
        <v/>
      </c>
      <c r="D638" s="414"/>
      <c r="E638" s="414"/>
      <c r="F638" s="414"/>
      <c r="G638" s="364"/>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4" t="str">
        <f>_xlfn.CONCAT(_xlfn.XLOOKUP("[S05_DefaultValues][437][InstallationCategory]",Submission!$O:$O,Submission!$H:$N,""))</f>
        <v/>
      </c>
      <c r="D639" s="414"/>
      <c r="E639" s="414"/>
      <c r="F639" s="414"/>
      <c r="G639" s="364"/>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4" t="str">
        <f>_xlfn.CONCAT(_xlfn.XLOOKUP("[S05_DefaultValues][438][InstallationCategory]",Submission!$O:$O,Submission!$H:$N,""))</f>
        <v/>
      </c>
      <c r="D640" s="414"/>
      <c r="E640" s="414"/>
      <c r="F640" s="414"/>
      <c r="G640" s="364"/>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4" t="str">
        <f>_xlfn.CONCAT(_xlfn.XLOOKUP("[S05_DefaultValues][439][InstallationCategory]",Submission!$O:$O,Submission!$H:$N,""))</f>
        <v/>
      </c>
      <c r="D641" s="414"/>
      <c r="E641" s="414"/>
      <c r="F641" s="414"/>
      <c r="G641" s="364"/>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4" t="str">
        <f>_xlfn.CONCAT(_xlfn.XLOOKUP("[S05_DefaultValues][440][InstallationCategory]",Submission!$O:$O,Submission!$H:$N,""))</f>
        <v/>
      </c>
      <c r="D642" s="414"/>
      <c r="E642" s="414"/>
      <c r="F642" s="414"/>
      <c r="G642" s="364"/>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4" t="str">
        <f>_xlfn.CONCAT(_xlfn.XLOOKUP("[S05_DefaultValues][441][InstallationCategory]",Submission!$O:$O,Submission!$H:$N,""))</f>
        <v/>
      </c>
      <c r="D643" s="414"/>
      <c r="E643" s="414"/>
      <c r="F643" s="414"/>
      <c r="G643" s="364"/>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4" t="str">
        <f>_xlfn.CONCAT(_xlfn.XLOOKUP("[S05_DefaultValues][442][InstallationCategory]",Submission!$O:$O,Submission!$H:$N,""))</f>
        <v/>
      </c>
      <c r="D644" s="414"/>
      <c r="E644" s="414"/>
      <c r="F644" s="414"/>
      <c r="G644" s="364"/>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4" t="str">
        <f>_xlfn.CONCAT(_xlfn.XLOOKUP("[S05_DefaultValues][443][InstallationCategory]",Submission!$O:$O,Submission!$H:$N,""))</f>
        <v/>
      </c>
      <c r="D645" s="414"/>
      <c r="E645" s="414"/>
      <c r="F645" s="414"/>
      <c r="G645" s="364"/>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4" t="str">
        <f>_xlfn.CONCAT(_xlfn.XLOOKUP("[S05_DefaultValues][444][InstallationCategory]",Submission!$O:$O,Submission!$H:$N,""))</f>
        <v/>
      </c>
      <c r="D646" s="414"/>
      <c r="E646" s="414"/>
      <c r="F646" s="414"/>
      <c r="G646" s="364"/>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4" t="str">
        <f>_xlfn.CONCAT(_xlfn.XLOOKUP("[S05_DefaultValues][445][InstallationCategory]",Submission!$O:$O,Submission!$H:$N,""))</f>
        <v/>
      </c>
      <c r="D647" s="414"/>
      <c r="E647" s="414"/>
      <c r="F647" s="414"/>
      <c r="G647" s="364"/>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4" t="str">
        <f>_xlfn.CONCAT(_xlfn.XLOOKUP("[S05_DefaultValues][446][InstallationCategory]",Submission!$O:$O,Submission!$H:$N,""))</f>
        <v/>
      </c>
      <c r="D648" s="414"/>
      <c r="E648" s="414"/>
      <c r="F648" s="414"/>
      <c r="G648" s="364"/>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4" t="str">
        <f>_xlfn.CONCAT(_xlfn.XLOOKUP("[S05_DefaultValues][447][InstallationCategory]",Submission!$O:$O,Submission!$H:$N,""))</f>
        <v/>
      </c>
      <c r="D649" s="414"/>
      <c r="E649" s="414"/>
      <c r="F649" s="414"/>
      <c r="G649" s="364"/>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4" t="str">
        <f>_xlfn.CONCAT(_xlfn.XLOOKUP("[S05_DefaultValues][448][InstallationCategory]",Submission!$O:$O,Submission!$H:$N,""))</f>
        <v/>
      </c>
      <c r="D650" s="414"/>
      <c r="E650" s="414"/>
      <c r="F650" s="414"/>
      <c r="G650" s="364"/>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4" t="str">
        <f>_xlfn.CONCAT(_xlfn.XLOOKUP("[S05_DefaultValues][449][InstallationCategory]",Submission!$O:$O,Submission!$H:$N,""))</f>
        <v/>
      </c>
      <c r="D651" s="414"/>
      <c r="E651" s="414"/>
      <c r="F651" s="414"/>
      <c r="G651" s="364"/>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4" t="str">
        <f>_xlfn.CONCAT(_xlfn.XLOOKUP("[S05_DefaultValues][450][InstallationCategory]",Submission!$O:$O,Submission!$H:$N,""))</f>
        <v/>
      </c>
      <c r="D652" s="414"/>
      <c r="E652" s="414"/>
      <c r="F652" s="414"/>
      <c r="G652" s="364"/>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4" t="str">
        <f>_xlfn.CONCAT(_xlfn.XLOOKUP("[S05_DefaultValues][451][InstallationCategory]",Submission!$O:$O,Submission!$H:$N,""))</f>
        <v/>
      </c>
      <c r="D653" s="414"/>
      <c r="E653" s="414"/>
      <c r="F653" s="414"/>
      <c r="G653" s="364"/>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4" t="str">
        <f>_xlfn.CONCAT(_xlfn.XLOOKUP("[S05_DefaultValues][452][InstallationCategory]",Submission!$O:$O,Submission!$H:$N,""))</f>
        <v/>
      </c>
      <c r="D654" s="414"/>
      <c r="E654" s="414"/>
      <c r="F654" s="414"/>
      <c r="G654" s="364"/>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4" t="str">
        <f>_xlfn.CONCAT(_xlfn.XLOOKUP("[S05_DefaultValues][453][InstallationCategory]",Submission!$O:$O,Submission!$H:$N,""))</f>
        <v/>
      </c>
      <c r="D655" s="414"/>
      <c r="E655" s="414"/>
      <c r="F655" s="414"/>
      <c r="G655" s="364"/>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4" t="str">
        <f>_xlfn.CONCAT(_xlfn.XLOOKUP("[S05_DefaultValues][454][InstallationCategory]",Submission!$O:$O,Submission!$H:$N,""))</f>
        <v/>
      </c>
      <c r="D656" s="414"/>
      <c r="E656" s="414"/>
      <c r="F656" s="414"/>
      <c r="G656" s="364"/>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4" t="str">
        <f>_xlfn.CONCAT(_xlfn.XLOOKUP("[S05_DefaultValues][455][InstallationCategory]",Submission!$O:$O,Submission!$H:$N,""))</f>
        <v/>
      </c>
      <c r="D657" s="414"/>
      <c r="E657" s="414"/>
      <c r="F657" s="414"/>
      <c r="G657" s="364"/>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4" t="str">
        <f>_xlfn.CONCAT(_xlfn.XLOOKUP("[S05_DefaultValues][456][InstallationCategory]",Submission!$O:$O,Submission!$H:$N,""))</f>
        <v/>
      </c>
      <c r="D658" s="414"/>
      <c r="E658" s="414"/>
      <c r="F658" s="414"/>
      <c r="G658" s="364"/>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4" t="str">
        <f>_xlfn.CONCAT(_xlfn.XLOOKUP("[S05_DefaultValues][457][InstallationCategory]",Submission!$O:$O,Submission!$H:$N,""))</f>
        <v/>
      </c>
      <c r="D659" s="414"/>
      <c r="E659" s="414"/>
      <c r="F659" s="414"/>
      <c r="G659" s="364"/>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4" t="str">
        <f>_xlfn.CONCAT(_xlfn.XLOOKUP("[S05_DefaultValues][458][InstallationCategory]",Submission!$O:$O,Submission!$H:$N,""))</f>
        <v/>
      </c>
      <c r="D660" s="414"/>
      <c r="E660" s="414"/>
      <c r="F660" s="414"/>
      <c r="G660" s="364"/>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4" t="str">
        <f>_xlfn.CONCAT(_xlfn.XLOOKUP("[S05_DefaultValues][459][InstallationCategory]",Submission!$O:$O,Submission!$H:$N,""))</f>
        <v/>
      </c>
      <c r="D661" s="414"/>
      <c r="E661" s="414"/>
      <c r="F661" s="414"/>
      <c r="G661" s="364"/>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4" t="str">
        <f>_xlfn.CONCAT(_xlfn.XLOOKUP("[S05_DefaultValues][460][InstallationCategory]",Submission!$O:$O,Submission!$H:$N,""))</f>
        <v/>
      </c>
      <c r="D662" s="414"/>
      <c r="E662" s="414"/>
      <c r="F662" s="414"/>
      <c r="G662" s="364"/>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4" t="str">
        <f>_xlfn.CONCAT(_xlfn.XLOOKUP("[S05_DefaultValues][461][InstallationCategory]",Submission!$O:$O,Submission!$H:$N,""))</f>
        <v/>
      </c>
      <c r="D663" s="414"/>
      <c r="E663" s="414"/>
      <c r="F663" s="414"/>
      <c r="G663" s="364"/>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4" t="str">
        <f>_xlfn.CONCAT(_xlfn.XLOOKUP("[S05_DefaultValues][462][InstallationCategory]",Submission!$O:$O,Submission!$H:$N,""))</f>
        <v/>
      </c>
      <c r="D664" s="414"/>
      <c r="E664" s="414"/>
      <c r="F664" s="414"/>
      <c r="G664" s="364"/>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4" t="str">
        <f>_xlfn.CONCAT(_xlfn.XLOOKUP("[S05_DefaultValues][463][InstallationCategory]",Submission!$O:$O,Submission!$H:$N,""))</f>
        <v/>
      </c>
      <c r="D665" s="414"/>
      <c r="E665" s="414"/>
      <c r="F665" s="414"/>
      <c r="G665" s="364"/>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4" t="str">
        <f>_xlfn.CONCAT(_xlfn.XLOOKUP("[S05_DefaultValues][464][InstallationCategory]",Submission!$O:$O,Submission!$H:$N,""))</f>
        <v/>
      </c>
      <c r="D666" s="414"/>
      <c r="E666" s="414"/>
      <c r="F666" s="414"/>
      <c r="G666" s="364"/>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4" t="str">
        <f>_xlfn.CONCAT(_xlfn.XLOOKUP("[S05_DefaultValues][465][InstallationCategory]",Submission!$O:$O,Submission!$H:$N,""))</f>
        <v/>
      </c>
      <c r="D667" s="414"/>
      <c r="E667" s="414"/>
      <c r="F667" s="414"/>
      <c r="G667" s="364"/>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4" t="str">
        <f>_xlfn.CONCAT(_xlfn.XLOOKUP("[S05_DefaultValues][466][InstallationCategory]",Submission!$O:$O,Submission!$H:$N,""))</f>
        <v/>
      </c>
      <c r="D668" s="414"/>
      <c r="E668" s="414"/>
      <c r="F668" s="414"/>
      <c r="G668" s="364"/>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4" t="str">
        <f>_xlfn.CONCAT(_xlfn.XLOOKUP("[S05_DefaultValues][467][InstallationCategory]",Submission!$O:$O,Submission!$H:$N,""))</f>
        <v/>
      </c>
      <c r="D669" s="414"/>
      <c r="E669" s="414"/>
      <c r="F669" s="414"/>
      <c r="G669" s="364"/>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4" t="str">
        <f>_xlfn.CONCAT(_xlfn.XLOOKUP("[S05_DefaultValues][468][InstallationCategory]",Submission!$O:$O,Submission!$H:$N,""))</f>
        <v/>
      </c>
      <c r="D670" s="414"/>
      <c r="E670" s="414"/>
      <c r="F670" s="414"/>
      <c r="G670" s="364"/>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4" t="str">
        <f>_xlfn.CONCAT(_xlfn.XLOOKUP("[S05_DefaultValues][469][InstallationCategory]",Submission!$O:$O,Submission!$H:$N,""))</f>
        <v/>
      </c>
      <c r="D671" s="414"/>
      <c r="E671" s="414"/>
      <c r="F671" s="414"/>
      <c r="G671" s="364"/>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4" t="str">
        <f>_xlfn.CONCAT(_xlfn.XLOOKUP("[S05_DefaultValues][470][InstallationCategory]",Submission!$O:$O,Submission!$H:$N,""))</f>
        <v/>
      </c>
      <c r="D672" s="414"/>
      <c r="E672" s="414"/>
      <c r="F672" s="414"/>
      <c r="G672" s="364"/>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4" t="str">
        <f>_xlfn.CONCAT(_xlfn.XLOOKUP("[S05_DefaultValues][471][InstallationCategory]",Submission!$O:$O,Submission!$H:$N,""))</f>
        <v/>
      </c>
      <c r="D673" s="414"/>
      <c r="E673" s="414"/>
      <c r="F673" s="414"/>
      <c r="G673" s="364"/>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4" t="str">
        <f>_xlfn.CONCAT(_xlfn.XLOOKUP("[S05_DefaultValues][472][InstallationCategory]",Submission!$O:$O,Submission!$H:$N,""))</f>
        <v/>
      </c>
      <c r="D674" s="414"/>
      <c r="E674" s="414"/>
      <c r="F674" s="414"/>
      <c r="G674" s="364"/>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4" t="str">
        <f>_xlfn.CONCAT(_xlfn.XLOOKUP("[S05_DefaultValues][473][InstallationCategory]",Submission!$O:$O,Submission!$H:$N,""))</f>
        <v/>
      </c>
      <c r="D675" s="414"/>
      <c r="E675" s="414"/>
      <c r="F675" s="414"/>
      <c r="G675" s="364"/>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4" t="str">
        <f>_xlfn.CONCAT(_xlfn.XLOOKUP("[S05_DefaultValues][474][InstallationCategory]",Submission!$O:$O,Submission!$H:$N,""))</f>
        <v/>
      </c>
      <c r="D676" s="414"/>
      <c r="E676" s="414"/>
      <c r="F676" s="414"/>
      <c r="G676" s="364"/>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4" t="str">
        <f>_xlfn.CONCAT(_xlfn.XLOOKUP("[S05_DefaultValues][475][InstallationCategory]",Submission!$O:$O,Submission!$H:$N,""))</f>
        <v/>
      </c>
      <c r="D677" s="414"/>
      <c r="E677" s="414"/>
      <c r="F677" s="414"/>
      <c r="G677" s="364"/>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4" t="str">
        <f>_xlfn.CONCAT(_xlfn.XLOOKUP("[S05_DefaultValues][476][InstallationCategory]",Submission!$O:$O,Submission!$H:$N,""))</f>
        <v/>
      </c>
      <c r="D678" s="414"/>
      <c r="E678" s="414"/>
      <c r="F678" s="414"/>
      <c r="G678" s="364"/>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4" t="str">
        <f>_xlfn.CONCAT(_xlfn.XLOOKUP("[S05_DefaultValues][477][InstallationCategory]",Submission!$O:$O,Submission!$H:$N,""))</f>
        <v/>
      </c>
      <c r="D679" s="414"/>
      <c r="E679" s="414"/>
      <c r="F679" s="414"/>
      <c r="G679" s="364"/>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4" t="str">
        <f>_xlfn.CONCAT(_xlfn.XLOOKUP("[S05_DefaultValues][478][InstallationCategory]",Submission!$O:$O,Submission!$H:$N,""))</f>
        <v/>
      </c>
      <c r="D680" s="414"/>
      <c r="E680" s="414"/>
      <c r="F680" s="414"/>
      <c r="G680" s="364"/>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4" t="str">
        <f>_xlfn.CONCAT(_xlfn.XLOOKUP("[S05_DefaultValues][479][InstallationCategory]",Submission!$O:$O,Submission!$H:$N,""))</f>
        <v/>
      </c>
      <c r="D681" s="414"/>
      <c r="E681" s="414"/>
      <c r="F681" s="414"/>
      <c r="G681" s="364"/>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4" t="str">
        <f>_xlfn.CONCAT(_xlfn.XLOOKUP("[S05_DefaultValues][480][InstallationCategory]",Submission!$O:$O,Submission!$H:$N,""))</f>
        <v/>
      </c>
      <c r="D682" s="414"/>
      <c r="E682" s="414"/>
      <c r="F682" s="414"/>
      <c r="G682" s="364"/>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4" t="str">
        <f>_xlfn.CONCAT(_xlfn.XLOOKUP("[S05_DefaultValues][481][InstallationCategory]",Submission!$O:$O,Submission!$H:$N,""))</f>
        <v/>
      </c>
      <c r="D683" s="414"/>
      <c r="E683" s="414"/>
      <c r="F683" s="414"/>
      <c r="G683" s="364"/>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4" t="str">
        <f>_xlfn.CONCAT(_xlfn.XLOOKUP("[S05_DefaultValues][482][InstallationCategory]",Submission!$O:$O,Submission!$H:$N,""))</f>
        <v/>
      </c>
      <c r="D684" s="414"/>
      <c r="E684" s="414"/>
      <c r="F684" s="414"/>
      <c r="G684" s="364"/>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4" t="str">
        <f>_xlfn.CONCAT(_xlfn.XLOOKUP("[S05_DefaultValues][483][InstallationCategory]",Submission!$O:$O,Submission!$H:$N,""))</f>
        <v/>
      </c>
      <c r="D685" s="414"/>
      <c r="E685" s="414"/>
      <c r="F685" s="414"/>
      <c r="G685" s="364"/>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4" t="str">
        <f>_xlfn.CONCAT(_xlfn.XLOOKUP("[S05_DefaultValues][484][InstallationCategory]",Submission!$O:$O,Submission!$H:$N,""))</f>
        <v/>
      </c>
      <c r="D686" s="414"/>
      <c r="E686" s="414"/>
      <c r="F686" s="414"/>
      <c r="G686" s="364"/>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4" t="str">
        <f>_xlfn.CONCAT(_xlfn.XLOOKUP("[S05_DefaultValues][485][InstallationCategory]",Submission!$O:$O,Submission!$H:$N,""))</f>
        <v/>
      </c>
      <c r="D687" s="414"/>
      <c r="E687" s="414"/>
      <c r="F687" s="414"/>
      <c r="G687" s="364"/>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4" t="str">
        <f>_xlfn.CONCAT(_xlfn.XLOOKUP("[S05_DefaultValues][486][InstallationCategory]",Submission!$O:$O,Submission!$H:$N,""))</f>
        <v/>
      </c>
      <c r="D688" s="414"/>
      <c r="E688" s="414"/>
      <c r="F688" s="414"/>
      <c r="G688" s="364"/>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4" t="str">
        <f>_xlfn.CONCAT(_xlfn.XLOOKUP("[S05_DefaultValues][487][InstallationCategory]",Submission!$O:$O,Submission!$H:$N,""))</f>
        <v/>
      </c>
      <c r="D689" s="414"/>
      <c r="E689" s="414"/>
      <c r="F689" s="414"/>
      <c r="G689" s="364"/>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4" t="str">
        <f>_xlfn.CONCAT(_xlfn.XLOOKUP("[S05_DefaultValues][488][InstallationCategory]",Submission!$O:$O,Submission!$H:$N,""))</f>
        <v/>
      </c>
      <c r="D690" s="414"/>
      <c r="E690" s="414"/>
      <c r="F690" s="414"/>
      <c r="G690" s="364"/>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4" t="str">
        <f>_xlfn.CONCAT(_xlfn.XLOOKUP("[S05_DefaultValues][489][InstallationCategory]",Submission!$O:$O,Submission!$H:$N,""))</f>
        <v/>
      </c>
      <c r="D691" s="414"/>
      <c r="E691" s="414"/>
      <c r="F691" s="414"/>
      <c r="G691" s="364"/>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4" t="str">
        <f>_xlfn.CONCAT(_xlfn.XLOOKUP("[S05_DefaultValues][490][InstallationCategory]",Submission!$O:$O,Submission!$H:$N,""))</f>
        <v/>
      </c>
      <c r="D692" s="414"/>
      <c r="E692" s="414"/>
      <c r="F692" s="414"/>
      <c r="G692" s="364"/>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4" t="str">
        <f>_xlfn.CONCAT(_xlfn.XLOOKUP("[S05_DefaultValues][491][InstallationCategory]",Submission!$O:$O,Submission!$H:$N,""))</f>
        <v/>
      </c>
      <c r="D693" s="414"/>
      <c r="E693" s="414"/>
      <c r="F693" s="414"/>
      <c r="G693" s="364"/>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4" t="str">
        <f>_xlfn.CONCAT(_xlfn.XLOOKUP("[S05_DefaultValues][492][InstallationCategory]",Submission!$O:$O,Submission!$H:$N,""))</f>
        <v/>
      </c>
      <c r="D694" s="414"/>
      <c r="E694" s="414"/>
      <c r="F694" s="414"/>
      <c r="G694" s="364"/>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4" t="str">
        <f>_xlfn.CONCAT(_xlfn.XLOOKUP("[S05_DefaultValues][493][InstallationCategory]",Submission!$O:$O,Submission!$H:$N,""))</f>
        <v/>
      </c>
      <c r="D695" s="414"/>
      <c r="E695" s="414"/>
      <c r="F695" s="414"/>
      <c r="G695" s="364"/>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4" t="str">
        <f>_xlfn.CONCAT(_xlfn.XLOOKUP("[S05_DefaultValues][494][InstallationCategory]",Submission!$O:$O,Submission!$H:$N,""))</f>
        <v/>
      </c>
      <c r="D696" s="414"/>
      <c r="E696" s="414"/>
      <c r="F696" s="414"/>
      <c r="G696" s="364"/>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4" t="str">
        <f>_xlfn.CONCAT(_xlfn.XLOOKUP("[S05_DefaultValues][495][InstallationCategory]",Submission!$O:$O,Submission!$H:$N,""))</f>
        <v/>
      </c>
      <c r="D697" s="414"/>
      <c r="E697" s="414"/>
      <c r="F697" s="414"/>
      <c r="G697" s="364"/>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4" t="str">
        <f>_xlfn.CONCAT(_xlfn.XLOOKUP("[S05_DefaultValues][496][InstallationCategory]",Submission!$O:$O,Submission!$H:$N,""))</f>
        <v/>
      </c>
      <c r="D698" s="414"/>
      <c r="E698" s="414"/>
      <c r="F698" s="414"/>
      <c r="G698" s="364"/>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4" t="str">
        <f>_xlfn.CONCAT(_xlfn.XLOOKUP("[S05_DefaultValues][497][InstallationCategory]",Submission!$O:$O,Submission!$H:$N,""))</f>
        <v/>
      </c>
      <c r="D699" s="414"/>
      <c r="E699" s="414"/>
      <c r="F699" s="414"/>
      <c r="G699" s="364"/>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4" t="str">
        <f>_xlfn.CONCAT(_xlfn.XLOOKUP("[S05_DefaultValues][498][InstallationCategory]",Submission!$O:$O,Submission!$H:$N,""))</f>
        <v/>
      </c>
      <c r="D700" s="414"/>
      <c r="E700" s="414"/>
      <c r="F700" s="414"/>
      <c r="G700" s="364"/>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4" t="str">
        <f>_xlfn.CONCAT(_xlfn.XLOOKUP("[S05_DefaultValues][499][InstallationCategory]",Submission!$O:$O,Submission!$H:$N,""))</f>
        <v/>
      </c>
      <c r="D701" s="414"/>
      <c r="E701" s="414"/>
      <c r="F701" s="414"/>
      <c r="G701" s="364"/>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4" t="str">
        <f>_xlfn.CONCAT(_xlfn.XLOOKUP("[S05_DefaultValues][500][InstallationCategory]",Submission!$O:$O,Submission!$H:$N,""))</f>
        <v/>
      </c>
      <c r="D702" s="414"/>
      <c r="E702" s="414"/>
      <c r="F702" s="414"/>
      <c r="G702" s="364"/>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4" t="str">
        <f>_xlfn.CONCAT(_xlfn.XLOOKUP("[S05_DefaultValues][501][InstallationCategory]",Submission!$O:$O,Submission!$H:$N,""))</f>
        <v/>
      </c>
      <c r="D703" s="414"/>
      <c r="E703" s="414"/>
      <c r="F703" s="414"/>
      <c r="G703" s="364"/>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4" t="str">
        <f>_xlfn.CONCAT(_xlfn.XLOOKUP("[S05_DefaultValues][502][InstallationCategory]",Submission!$O:$O,Submission!$H:$N,""))</f>
        <v/>
      </c>
      <c r="D704" s="414"/>
      <c r="E704" s="414"/>
      <c r="F704" s="414"/>
      <c r="G704" s="364"/>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4" t="str">
        <f>_xlfn.CONCAT(_xlfn.XLOOKUP("[S05_DefaultValues][503][InstallationCategory]",Submission!$O:$O,Submission!$H:$N,""))</f>
        <v/>
      </c>
      <c r="D705" s="414"/>
      <c r="E705" s="414"/>
      <c r="F705" s="414"/>
      <c r="G705" s="364"/>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4" t="str">
        <f>_xlfn.CONCAT(_xlfn.XLOOKUP("[S05_DefaultValues][504][InstallationCategory]",Submission!$O:$O,Submission!$H:$N,""))</f>
        <v/>
      </c>
      <c r="D706" s="414"/>
      <c r="E706" s="414"/>
      <c r="F706" s="414"/>
      <c r="G706" s="364"/>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4" t="str">
        <f>_xlfn.CONCAT(_xlfn.XLOOKUP("[S05_DefaultValues][505][InstallationCategory]",Submission!$O:$O,Submission!$H:$N,""))</f>
        <v/>
      </c>
      <c r="D707" s="414"/>
      <c r="E707" s="414"/>
      <c r="F707" s="414"/>
      <c r="G707" s="364"/>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4" t="str">
        <f>_xlfn.CONCAT(_xlfn.XLOOKUP("[S05_DefaultValues][506][InstallationCategory]",Submission!$O:$O,Submission!$H:$N,""))</f>
        <v/>
      </c>
      <c r="D708" s="414"/>
      <c r="E708" s="414"/>
      <c r="F708" s="414"/>
      <c r="G708" s="364"/>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4" t="str">
        <f>_xlfn.CONCAT(_xlfn.XLOOKUP("[S05_DefaultValues][507][InstallationCategory]",Submission!$O:$O,Submission!$H:$N,""))</f>
        <v/>
      </c>
      <c r="D709" s="414"/>
      <c r="E709" s="414"/>
      <c r="F709" s="414"/>
      <c r="G709" s="364"/>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4" t="str">
        <f>_xlfn.CONCAT(_xlfn.XLOOKUP("[S05_DefaultValues][508][InstallationCategory]",Submission!$O:$O,Submission!$H:$N,""))</f>
        <v/>
      </c>
      <c r="D710" s="414"/>
      <c r="E710" s="414"/>
      <c r="F710" s="414"/>
      <c r="G710" s="364"/>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4" t="str">
        <f>_xlfn.CONCAT(_xlfn.XLOOKUP("[S05_DefaultValues][509][InstallationCategory]",Submission!$O:$O,Submission!$H:$N,""))</f>
        <v/>
      </c>
      <c r="D711" s="414"/>
      <c r="E711" s="414"/>
      <c r="F711" s="414"/>
      <c r="G711" s="364"/>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4" t="str">
        <f>_xlfn.CONCAT(_xlfn.XLOOKUP("[S05_DefaultValues][510][InstallationCategory]",Submission!$O:$O,Submission!$H:$N,""))</f>
        <v/>
      </c>
      <c r="D712" s="414"/>
      <c r="E712" s="414"/>
      <c r="F712" s="414"/>
      <c r="G712" s="364"/>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4" t="str">
        <f>_xlfn.CONCAT(_xlfn.XLOOKUP("[S05_DefaultValues][511][InstallationCategory]",Submission!$O:$O,Submission!$H:$N,""))</f>
        <v/>
      </c>
      <c r="D713" s="414"/>
      <c r="E713" s="414"/>
      <c r="F713" s="414"/>
      <c r="G713" s="364"/>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4" t="str">
        <f>_xlfn.CONCAT(_xlfn.XLOOKUP("[S05_DefaultValues][512][InstallationCategory]",Submission!$O:$O,Submission!$H:$N,""))</f>
        <v/>
      </c>
      <c r="D714" s="414"/>
      <c r="E714" s="414"/>
      <c r="F714" s="414"/>
      <c r="G714" s="364"/>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4" t="str">
        <f>_xlfn.CONCAT(_xlfn.XLOOKUP("[S05_DefaultValues][513][InstallationCategory]",Submission!$O:$O,Submission!$H:$N,""))</f>
        <v/>
      </c>
      <c r="D715" s="414"/>
      <c r="E715" s="414"/>
      <c r="F715" s="414"/>
      <c r="G715" s="364"/>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4" t="str">
        <f>_xlfn.CONCAT(_xlfn.XLOOKUP("[S05_DefaultValues][514][InstallationCategory]",Submission!$O:$O,Submission!$H:$N,""))</f>
        <v/>
      </c>
      <c r="D716" s="414"/>
      <c r="E716" s="414"/>
      <c r="F716" s="414"/>
      <c r="G716" s="364"/>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4" t="str">
        <f>_xlfn.CONCAT(_xlfn.XLOOKUP("[S05_DefaultValues][515][InstallationCategory]",Submission!$O:$O,Submission!$H:$N,""))</f>
        <v/>
      </c>
      <c r="D717" s="414"/>
      <c r="E717" s="414"/>
      <c r="F717" s="414"/>
      <c r="G717" s="364"/>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4" t="str">
        <f>_xlfn.CONCAT(_xlfn.XLOOKUP("[S05_DefaultValues][516][InstallationCategory]",Submission!$O:$O,Submission!$H:$N,""))</f>
        <v/>
      </c>
      <c r="D718" s="414"/>
      <c r="E718" s="414"/>
      <c r="F718" s="414"/>
      <c r="G718" s="364"/>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4" t="str">
        <f>_xlfn.CONCAT(_xlfn.XLOOKUP("[S05_DefaultValues][517][InstallationCategory]",Submission!$O:$O,Submission!$H:$N,""))</f>
        <v/>
      </c>
      <c r="D719" s="414"/>
      <c r="E719" s="414"/>
      <c r="F719" s="414"/>
      <c r="G719" s="364"/>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4" t="str">
        <f>_xlfn.CONCAT(_xlfn.XLOOKUP("[S05_DefaultValues][518][InstallationCategory]",Submission!$O:$O,Submission!$H:$N,""))</f>
        <v/>
      </c>
      <c r="D720" s="414"/>
      <c r="E720" s="414"/>
      <c r="F720" s="414"/>
      <c r="G720" s="364"/>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4" t="str">
        <f>_xlfn.CONCAT(_xlfn.XLOOKUP("[S05_DefaultValues][519][InstallationCategory]",Submission!$O:$O,Submission!$H:$N,""))</f>
        <v/>
      </c>
      <c r="D721" s="414"/>
      <c r="E721" s="414"/>
      <c r="F721" s="414"/>
      <c r="G721" s="364"/>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4" t="str">
        <f>_xlfn.CONCAT(_xlfn.XLOOKUP("[S05_DefaultValues][520][InstallationCategory]",Submission!$O:$O,Submission!$H:$N,""))</f>
        <v/>
      </c>
      <c r="D722" s="414"/>
      <c r="E722" s="414"/>
      <c r="F722" s="414"/>
      <c r="G722" s="364"/>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4" t="str">
        <f>_xlfn.CONCAT(_xlfn.XLOOKUP("[S05_DefaultValues][521][InstallationCategory]",Submission!$O:$O,Submission!$H:$N,""))</f>
        <v/>
      </c>
      <c r="D723" s="414"/>
      <c r="E723" s="414"/>
      <c r="F723" s="414"/>
      <c r="G723" s="364"/>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4" t="str">
        <f>_xlfn.CONCAT(_xlfn.XLOOKUP("[S05_DefaultValues][522][InstallationCategory]",Submission!$O:$O,Submission!$H:$N,""))</f>
        <v/>
      </c>
      <c r="D724" s="414"/>
      <c r="E724" s="414"/>
      <c r="F724" s="414"/>
      <c r="G724" s="364"/>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4" t="str">
        <f>_xlfn.CONCAT(_xlfn.XLOOKUP("[S05_DefaultValues][523][InstallationCategory]",Submission!$O:$O,Submission!$H:$N,""))</f>
        <v/>
      </c>
      <c r="D725" s="414"/>
      <c r="E725" s="414"/>
      <c r="F725" s="414"/>
      <c r="G725" s="364"/>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4" t="str">
        <f>_xlfn.CONCAT(_xlfn.XLOOKUP("[S05_DefaultValues][524][InstallationCategory]",Submission!$O:$O,Submission!$H:$N,""))</f>
        <v/>
      </c>
      <c r="D726" s="414"/>
      <c r="E726" s="414"/>
      <c r="F726" s="414"/>
      <c r="G726" s="364"/>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4" t="str">
        <f>_xlfn.CONCAT(_xlfn.XLOOKUP("[S05_DefaultValues][525][InstallationCategory]",Submission!$O:$O,Submission!$H:$N,""))</f>
        <v/>
      </c>
      <c r="D727" s="414"/>
      <c r="E727" s="414"/>
      <c r="F727" s="414"/>
      <c r="G727" s="364"/>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4" t="str">
        <f>_xlfn.CONCAT(_xlfn.XLOOKUP("[S05_DefaultValues][526][InstallationCategory]",Submission!$O:$O,Submission!$H:$N,""))</f>
        <v/>
      </c>
      <c r="D728" s="414"/>
      <c r="E728" s="414"/>
      <c r="F728" s="414"/>
      <c r="G728" s="364"/>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4" t="str">
        <f>_xlfn.CONCAT(_xlfn.XLOOKUP("[S05_DefaultValues][527][InstallationCategory]",Submission!$O:$O,Submission!$H:$N,""))</f>
        <v/>
      </c>
      <c r="D729" s="414"/>
      <c r="E729" s="414"/>
      <c r="F729" s="414"/>
      <c r="G729" s="364"/>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4" t="str">
        <f>_xlfn.CONCAT(_xlfn.XLOOKUP("[S05_DefaultValues][528][InstallationCategory]",Submission!$O:$O,Submission!$H:$N,""))</f>
        <v/>
      </c>
      <c r="D730" s="414"/>
      <c r="E730" s="414"/>
      <c r="F730" s="414"/>
      <c r="G730" s="364"/>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4" t="str">
        <f>_xlfn.CONCAT(_xlfn.XLOOKUP("[S05_DefaultValues][529][InstallationCategory]",Submission!$O:$O,Submission!$H:$N,""))</f>
        <v/>
      </c>
      <c r="D731" s="414"/>
      <c r="E731" s="414"/>
      <c r="F731" s="414"/>
      <c r="G731" s="364"/>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4" t="str">
        <f>_xlfn.CONCAT(_xlfn.XLOOKUP("[S05_DefaultValues][530][InstallationCategory]",Submission!$O:$O,Submission!$H:$N,""))</f>
        <v/>
      </c>
      <c r="D732" s="414"/>
      <c r="E732" s="414"/>
      <c r="F732" s="414"/>
      <c r="G732" s="364"/>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4" t="str">
        <f>_xlfn.CONCAT(_xlfn.XLOOKUP("[S05_DefaultValues][531][InstallationCategory]",Submission!$O:$O,Submission!$H:$N,""))</f>
        <v/>
      </c>
      <c r="D733" s="414"/>
      <c r="E733" s="414"/>
      <c r="F733" s="414"/>
      <c r="G733" s="364"/>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4" t="str">
        <f>_xlfn.CONCAT(_xlfn.XLOOKUP("[S05_DefaultValues][532][InstallationCategory]",Submission!$O:$O,Submission!$H:$N,""))</f>
        <v/>
      </c>
      <c r="D734" s="414"/>
      <c r="E734" s="414"/>
      <c r="F734" s="414"/>
      <c r="G734" s="364"/>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4" t="str">
        <f>_xlfn.CONCAT(_xlfn.XLOOKUP("[S05_DefaultValues][533][InstallationCategory]",Submission!$O:$O,Submission!$H:$N,""))</f>
        <v/>
      </c>
      <c r="D735" s="414"/>
      <c r="E735" s="414"/>
      <c r="F735" s="414"/>
      <c r="G735" s="364"/>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4" t="str">
        <f>_xlfn.CONCAT(_xlfn.XLOOKUP("[S05_DefaultValues][534][InstallationCategory]",Submission!$O:$O,Submission!$H:$N,""))</f>
        <v/>
      </c>
      <c r="D736" s="414"/>
      <c r="E736" s="414"/>
      <c r="F736" s="414"/>
      <c r="G736" s="364"/>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4" t="str">
        <f>_xlfn.CONCAT(_xlfn.XLOOKUP("[S05_DefaultValues][535][InstallationCategory]",Submission!$O:$O,Submission!$H:$N,""))</f>
        <v/>
      </c>
      <c r="D737" s="414"/>
      <c r="E737" s="414"/>
      <c r="F737" s="414"/>
      <c r="G737" s="364"/>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4" t="str">
        <f>_xlfn.CONCAT(_xlfn.XLOOKUP("[S05_DefaultValues][536][InstallationCategory]",Submission!$O:$O,Submission!$H:$N,""))</f>
        <v/>
      </c>
      <c r="D738" s="414"/>
      <c r="E738" s="414"/>
      <c r="F738" s="414"/>
      <c r="G738" s="364"/>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4" t="str">
        <f>_xlfn.CONCAT(_xlfn.XLOOKUP("[S05_DefaultValues][537][InstallationCategory]",Submission!$O:$O,Submission!$H:$N,""))</f>
        <v/>
      </c>
      <c r="D739" s="414"/>
      <c r="E739" s="414"/>
      <c r="F739" s="414"/>
      <c r="G739" s="364"/>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4" t="str">
        <f>_xlfn.CONCAT(_xlfn.XLOOKUP("[S05_DefaultValues][538][InstallationCategory]",Submission!$O:$O,Submission!$H:$N,""))</f>
        <v/>
      </c>
      <c r="D740" s="414"/>
      <c r="E740" s="414"/>
      <c r="F740" s="414"/>
      <c r="G740" s="364"/>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4" t="str">
        <f>_xlfn.CONCAT(_xlfn.XLOOKUP("[S05_DefaultValues][539][InstallationCategory]",Submission!$O:$O,Submission!$H:$N,""))</f>
        <v/>
      </c>
      <c r="D741" s="414"/>
      <c r="E741" s="414"/>
      <c r="F741" s="414"/>
      <c r="G741" s="364"/>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4" t="str">
        <f>_xlfn.CONCAT(_xlfn.XLOOKUP("[S05_DefaultValues][540][InstallationCategory]",Submission!$O:$O,Submission!$H:$N,""))</f>
        <v/>
      </c>
      <c r="D742" s="414"/>
      <c r="E742" s="414"/>
      <c r="F742" s="414"/>
      <c r="G742" s="364"/>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4" t="str">
        <f>_xlfn.CONCAT(_xlfn.XLOOKUP("[S05_DefaultValues][541][InstallationCategory]",Submission!$O:$O,Submission!$H:$N,""))</f>
        <v/>
      </c>
      <c r="D743" s="414"/>
      <c r="E743" s="414"/>
      <c r="F743" s="414"/>
      <c r="G743" s="364"/>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4" t="str">
        <f>_xlfn.CONCAT(_xlfn.XLOOKUP("[S05_DefaultValues][542][InstallationCategory]",Submission!$O:$O,Submission!$H:$N,""))</f>
        <v/>
      </c>
      <c r="D744" s="414"/>
      <c r="E744" s="414"/>
      <c r="F744" s="414"/>
      <c r="G744" s="364"/>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4" t="str">
        <f>_xlfn.CONCAT(_xlfn.XLOOKUP("[S05_DefaultValues][543][InstallationCategory]",Submission!$O:$O,Submission!$H:$N,""))</f>
        <v/>
      </c>
      <c r="D745" s="414"/>
      <c r="E745" s="414"/>
      <c r="F745" s="414"/>
      <c r="G745" s="364"/>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4" t="str">
        <f>_xlfn.CONCAT(_xlfn.XLOOKUP("[S05_DefaultValues][544][InstallationCategory]",Submission!$O:$O,Submission!$H:$N,""))</f>
        <v/>
      </c>
      <c r="D746" s="414"/>
      <c r="E746" s="414"/>
      <c r="F746" s="414"/>
      <c r="G746" s="364"/>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4" t="str">
        <f>_xlfn.CONCAT(_xlfn.XLOOKUP("[S05_DefaultValues][545][InstallationCategory]",Submission!$O:$O,Submission!$H:$N,""))</f>
        <v/>
      </c>
      <c r="D747" s="414"/>
      <c r="E747" s="414"/>
      <c r="F747" s="414"/>
      <c r="G747" s="364"/>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4" t="str">
        <f>_xlfn.CONCAT(_xlfn.XLOOKUP("[S05_DefaultValues][546][InstallationCategory]",Submission!$O:$O,Submission!$H:$N,""))</f>
        <v/>
      </c>
      <c r="D748" s="414"/>
      <c r="E748" s="414"/>
      <c r="F748" s="414"/>
      <c r="G748" s="364"/>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4" t="str">
        <f>_xlfn.CONCAT(_xlfn.XLOOKUP("[S05_DefaultValues][547][InstallationCategory]",Submission!$O:$O,Submission!$H:$N,""))</f>
        <v/>
      </c>
      <c r="D749" s="414"/>
      <c r="E749" s="414"/>
      <c r="F749" s="414"/>
      <c r="G749" s="364"/>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4" t="str">
        <f>_xlfn.CONCAT(_xlfn.XLOOKUP("[S05_DefaultValues][548][InstallationCategory]",Submission!$O:$O,Submission!$H:$N,""))</f>
        <v/>
      </c>
      <c r="D750" s="414"/>
      <c r="E750" s="414"/>
      <c r="F750" s="414"/>
      <c r="G750" s="364"/>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4" t="str">
        <f>_xlfn.CONCAT(_xlfn.XLOOKUP("[S05_DefaultValues][549][InstallationCategory]",Submission!$O:$O,Submission!$H:$N,""))</f>
        <v/>
      </c>
      <c r="D751" s="414"/>
      <c r="E751" s="414"/>
      <c r="F751" s="414"/>
      <c r="G751" s="364"/>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4" t="str">
        <f>_xlfn.CONCAT(_xlfn.XLOOKUP("[S05_DefaultValues][550][InstallationCategory]",Submission!$O:$O,Submission!$H:$N,""))</f>
        <v/>
      </c>
      <c r="D752" s="414"/>
      <c r="E752" s="414"/>
      <c r="F752" s="414"/>
      <c r="G752" s="364"/>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4" t="str">
        <f>_xlfn.CONCAT(_xlfn.XLOOKUP("[S05_DefaultValues][551][InstallationCategory]",Submission!$O:$O,Submission!$H:$N,""))</f>
        <v/>
      </c>
      <c r="D753" s="414"/>
      <c r="E753" s="414"/>
      <c r="F753" s="414"/>
      <c r="G753" s="364"/>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4" t="str">
        <f>_xlfn.CONCAT(_xlfn.XLOOKUP("[S05_DefaultValues][552][InstallationCategory]",Submission!$O:$O,Submission!$H:$N,""))</f>
        <v/>
      </c>
      <c r="D754" s="414"/>
      <c r="E754" s="414"/>
      <c r="F754" s="414"/>
      <c r="G754" s="364"/>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4" t="str">
        <f>_xlfn.CONCAT(_xlfn.XLOOKUP("[S05_DefaultValues][553][InstallationCategory]",Submission!$O:$O,Submission!$H:$N,""))</f>
        <v/>
      </c>
      <c r="D755" s="414"/>
      <c r="E755" s="414"/>
      <c r="F755" s="414"/>
      <c r="G755" s="364"/>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4" t="str">
        <f>_xlfn.CONCAT(_xlfn.XLOOKUP("[S05_DefaultValues][554][InstallationCategory]",Submission!$O:$O,Submission!$H:$N,""))</f>
        <v/>
      </c>
      <c r="D756" s="414"/>
      <c r="E756" s="414"/>
      <c r="F756" s="414"/>
      <c r="G756" s="364"/>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4" t="str">
        <f>_xlfn.CONCAT(_xlfn.XLOOKUP("[S05_DefaultValues][555][InstallationCategory]",Submission!$O:$O,Submission!$H:$N,""))</f>
        <v/>
      </c>
      <c r="D757" s="414"/>
      <c r="E757" s="414"/>
      <c r="F757" s="414"/>
      <c r="G757" s="364"/>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4" t="str">
        <f>_xlfn.CONCAT(_xlfn.XLOOKUP("[S05_DefaultValues][556][InstallationCategory]",Submission!$O:$O,Submission!$H:$N,""))</f>
        <v/>
      </c>
      <c r="D758" s="414"/>
      <c r="E758" s="414"/>
      <c r="F758" s="414"/>
      <c r="G758" s="364"/>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4" t="str">
        <f>_xlfn.CONCAT(_xlfn.XLOOKUP("[S05_DefaultValues][557][InstallationCategory]",Submission!$O:$O,Submission!$H:$N,""))</f>
        <v/>
      </c>
      <c r="D759" s="414"/>
      <c r="E759" s="414"/>
      <c r="F759" s="414"/>
      <c r="G759" s="364"/>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4" t="str">
        <f>_xlfn.CONCAT(_xlfn.XLOOKUP("[S05_DefaultValues][558][InstallationCategory]",Submission!$O:$O,Submission!$H:$N,""))</f>
        <v/>
      </c>
      <c r="D760" s="414"/>
      <c r="E760" s="414"/>
      <c r="F760" s="414"/>
      <c r="G760" s="364"/>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4" t="str">
        <f>_xlfn.CONCAT(_xlfn.XLOOKUP("[S05_DefaultValues][559][InstallationCategory]",Submission!$O:$O,Submission!$H:$N,""))</f>
        <v/>
      </c>
      <c r="D761" s="414"/>
      <c r="E761" s="414"/>
      <c r="F761" s="414"/>
      <c r="G761" s="364"/>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4" t="str">
        <f>_xlfn.CONCAT(_xlfn.XLOOKUP("[S05_DefaultValues][560][InstallationCategory]",Submission!$O:$O,Submission!$H:$N,""))</f>
        <v/>
      </c>
      <c r="D762" s="414"/>
      <c r="E762" s="414"/>
      <c r="F762" s="414"/>
      <c r="G762" s="364"/>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4" t="str">
        <f>_xlfn.CONCAT(_xlfn.XLOOKUP("[S05_DefaultValues][561][InstallationCategory]",Submission!$O:$O,Submission!$H:$N,""))</f>
        <v/>
      </c>
      <c r="D763" s="414"/>
      <c r="E763" s="414"/>
      <c r="F763" s="414"/>
      <c r="G763" s="364"/>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4" t="str">
        <f>_xlfn.CONCAT(_xlfn.XLOOKUP("[S05_DefaultValues][562][InstallationCategory]",Submission!$O:$O,Submission!$H:$N,""))</f>
        <v/>
      </c>
      <c r="D764" s="414"/>
      <c r="E764" s="414"/>
      <c r="F764" s="414"/>
      <c r="G764" s="364"/>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4" t="str">
        <f>_xlfn.CONCAT(_xlfn.XLOOKUP("[S05_DefaultValues][563][InstallationCategory]",Submission!$O:$O,Submission!$H:$N,""))</f>
        <v/>
      </c>
      <c r="D765" s="414"/>
      <c r="E765" s="414"/>
      <c r="F765" s="414"/>
      <c r="G765" s="364"/>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4" t="str">
        <f>_xlfn.CONCAT(_xlfn.XLOOKUP("[S05_DefaultValues][564][InstallationCategory]",Submission!$O:$O,Submission!$H:$N,""))</f>
        <v/>
      </c>
      <c r="D766" s="414"/>
      <c r="E766" s="414"/>
      <c r="F766" s="414"/>
      <c r="G766" s="364"/>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4" t="str">
        <f>_xlfn.CONCAT(_xlfn.XLOOKUP("[S05_DefaultValues][565][InstallationCategory]",Submission!$O:$O,Submission!$H:$N,""))</f>
        <v/>
      </c>
      <c r="D767" s="414"/>
      <c r="E767" s="414"/>
      <c r="F767" s="414"/>
      <c r="G767" s="364"/>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4" t="str">
        <f>_xlfn.CONCAT(_xlfn.XLOOKUP("[S05_DefaultValues][566][InstallationCategory]",Submission!$O:$O,Submission!$H:$N,""))</f>
        <v/>
      </c>
      <c r="D768" s="414"/>
      <c r="E768" s="414"/>
      <c r="F768" s="414"/>
      <c r="G768" s="364"/>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4" t="str">
        <f>_xlfn.CONCAT(_xlfn.XLOOKUP("[S05_DefaultValues][567][InstallationCategory]",Submission!$O:$O,Submission!$H:$N,""))</f>
        <v/>
      </c>
      <c r="D769" s="414"/>
      <c r="E769" s="414"/>
      <c r="F769" s="414"/>
      <c r="G769" s="364"/>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4" t="str">
        <f>_xlfn.CONCAT(_xlfn.XLOOKUP("[S05_DefaultValues][568][InstallationCategory]",Submission!$O:$O,Submission!$H:$N,""))</f>
        <v/>
      </c>
      <c r="D770" s="414"/>
      <c r="E770" s="414"/>
      <c r="F770" s="414"/>
      <c r="G770" s="364"/>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4" t="str">
        <f>_xlfn.CONCAT(_xlfn.XLOOKUP("[S05_DefaultValues][569][InstallationCategory]",Submission!$O:$O,Submission!$H:$N,""))</f>
        <v/>
      </c>
      <c r="D771" s="414"/>
      <c r="E771" s="414"/>
      <c r="F771" s="414"/>
      <c r="G771" s="364"/>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4" t="str">
        <f>_xlfn.CONCAT(_xlfn.XLOOKUP("[S05_DefaultValues][570][InstallationCategory]",Submission!$O:$O,Submission!$H:$N,""))</f>
        <v/>
      </c>
      <c r="D772" s="414"/>
      <c r="E772" s="414"/>
      <c r="F772" s="414"/>
      <c r="G772" s="364"/>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4" t="str">
        <f>_xlfn.CONCAT(_xlfn.XLOOKUP("[S05_DefaultValues][571][InstallationCategory]",Submission!$O:$O,Submission!$H:$N,""))</f>
        <v/>
      </c>
      <c r="D773" s="414"/>
      <c r="E773" s="414"/>
      <c r="F773" s="414"/>
      <c r="G773" s="364"/>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4" t="str">
        <f>_xlfn.CONCAT(_xlfn.XLOOKUP("[S05_DefaultValues][572][InstallationCategory]",Submission!$O:$O,Submission!$H:$N,""))</f>
        <v/>
      </c>
      <c r="D774" s="414"/>
      <c r="E774" s="414"/>
      <c r="F774" s="414"/>
      <c r="G774" s="364"/>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4" t="str">
        <f>_xlfn.CONCAT(_xlfn.XLOOKUP("[S05_DefaultValues][573][InstallationCategory]",Submission!$O:$O,Submission!$H:$N,""))</f>
        <v/>
      </c>
      <c r="D775" s="414"/>
      <c r="E775" s="414"/>
      <c r="F775" s="414"/>
      <c r="G775" s="364"/>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4" t="str">
        <f>_xlfn.CONCAT(_xlfn.XLOOKUP("[S05_DefaultValues][574][InstallationCategory]",Submission!$O:$O,Submission!$H:$N,""))</f>
        <v/>
      </c>
      <c r="D776" s="414"/>
      <c r="E776" s="414"/>
      <c r="F776" s="414"/>
      <c r="G776" s="364"/>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4" t="str">
        <f>_xlfn.CONCAT(_xlfn.XLOOKUP("[S05_DefaultValues][575][InstallationCategory]",Submission!$O:$O,Submission!$H:$N,""))</f>
        <v/>
      </c>
      <c r="D777" s="414"/>
      <c r="E777" s="414"/>
      <c r="F777" s="414"/>
      <c r="G777" s="364"/>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4" t="str">
        <f>_xlfn.CONCAT(_xlfn.XLOOKUP("[S05_DefaultValues][576][InstallationCategory]",Submission!$O:$O,Submission!$H:$N,""))</f>
        <v/>
      </c>
      <c r="D778" s="414"/>
      <c r="E778" s="414"/>
      <c r="F778" s="414"/>
      <c r="G778" s="364"/>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4" t="str">
        <f>_xlfn.CONCAT(_xlfn.XLOOKUP("[S05_DefaultValues][577][InstallationCategory]",Submission!$O:$O,Submission!$H:$N,""))</f>
        <v/>
      </c>
      <c r="D779" s="414"/>
      <c r="E779" s="414"/>
      <c r="F779" s="414"/>
      <c r="G779" s="364"/>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4" t="str">
        <f>_xlfn.CONCAT(_xlfn.XLOOKUP("[S05_DefaultValues][578][InstallationCategory]",Submission!$O:$O,Submission!$H:$N,""))</f>
        <v/>
      </c>
      <c r="D780" s="414"/>
      <c r="E780" s="414"/>
      <c r="F780" s="414"/>
      <c r="G780" s="364"/>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4" t="str">
        <f>_xlfn.CONCAT(_xlfn.XLOOKUP("[S05_DefaultValues][579][InstallationCategory]",Submission!$O:$O,Submission!$H:$N,""))</f>
        <v/>
      </c>
      <c r="D781" s="414"/>
      <c r="E781" s="414"/>
      <c r="F781" s="414"/>
      <c r="G781" s="364"/>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4" t="str">
        <f>_xlfn.CONCAT(_xlfn.XLOOKUP("[S05_DefaultValues][580][InstallationCategory]",Submission!$O:$O,Submission!$H:$N,""))</f>
        <v/>
      </c>
      <c r="D782" s="414"/>
      <c r="E782" s="414"/>
      <c r="F782" s="414"/>
      <c r="G782" s="364"/>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4" t="str">
        <f>_xlfn.CONCAT(_xlfn.XLOOKUP("[S05_DefaultValues][581][InstallationCategory]",Submission!$O:$O,Submission!$H:$N,""))</f>
        <v/>
      </c>
      <c r="D783" s="414"/>
      <c r="E783" s="414"/>
      <c r="F783" s="414"/>
      <c r="G783" s="364"/>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4" t="str">
        <f>_xlfn.CONCAT(_xlfn.XLOOKUP("[S05_DefaultValues][582][InstallationCategory]",Submission!$O:$O,Submission!$H:$N,""))</f>
        <v/>
      </c>
      <c r="D784" s="414"/>
      <c r="E784" s="414"/>
      <c r="F784" s="414"/>
      <c r="G784" s="364"/>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4" t="str">
        <f>_xlfn.CONCAT(_xlfn.XLOOKUP("[S05_DefaultValues][583][InstallationCategory]",Submission!$O:$O,Submission!$H:$N,""))</f>
        <v/>
      </c>
      <c r="D785" s="414"/>
      <c r="E785" s="414"/>
      <c r="F785" s="414"/>
      <c r="G785" s="364"/>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4" t="str">
        <f>_xlfn.CONCAT(_xlfn.XLOOKUP("[S05_DefaultValues][584][InstallationCategory]",Submission!$O:$O,Submission!$H:$N,""))</f>
        <v/>
      </c>
      <c r="D786" s="414"/>
      <c r="E786" s="414"/>
      <c r="F786" s="414"/>
      <c r="G786" s="364"/>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4" t="str">
        <f>_xlfn.CONCAT(_xlfn.XLOOKUP("[S05_DefaultValues][585][InstallationCategory]",Submission!$O:$O,Submission!$H:$N,""))</f>
        <v/>
      </c>
      <c r="D787" s="414"/>
      <c r="E787" s="414"/>
      <c r="F787" s="414"/>
      <c r="G787" s="364"/>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4" t="str">
        <f>_xlfn.CONCAT(_xlfn.XLOOKUP("[S05_DefaultValues][586][InstallationCategory]",Submission!$O:$O,Submission!$H:$N,""))</f>
        <v/>
      </c>
      <c r="D788" s="414"/>
      <c r="E788" s="414"/>
      <c r="F788" s="414"/>
      <c r="G788" s="364"/>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4" t="str">
        <f>_xlfn.CONCAT(_xlfn.XLOOKUP("[S05_DefaultValues][587][InstallationCategory]",Submission!$O:$O,Submission!$H:$N,""))</f>
        <v/>
      </c>
      <c r="D789" s="414"/>
      <c r="E789" s="414"/>
      <c r="F789" s="414"/>
      <c r="G789" s="364"/>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4" t="str">
        <f>_xlfn.CONCAT(_xlfn.XLOOKUP("[S05_DefaultValues][588][InstallationCategory]",Submission!$O:$O,Submission!$H:$N,""))</f>
        <v/>
      </c>
      <c r="D790" s="414"/>
      <c r="E790" s="414"/>
      <c r="F790" s="414"/>
      <c r="G790" s="364"/>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4" t="str">
        <f>_xlfn.CONCAT(_xlfn.XLOOKUP("[S05_DefaultValues][589][InstallationCategory]",Submission!$O:$O,Submission!$H:$N,""))</f>
        <v/>
      </c>
      <c r="D791" s="414"/>
      <c r="E791" s="414"/>
      <c r="F791" s="414"/>
      <c r="G791" s="364"/>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4" t="str">
        <f>_xlfn.CONCAT(_xlfn.XLOOKUP("[S05_DefaultValues][590][InstallationCategory]",Submission!$O:$O,Submission!$H:$N,""))</f>
        <v/>
      </c>
      <c r="D792" s="414"/>
      <c r="E792" s="414"/>
      <c r="F792" s="414"/>
      <c r="G792" s="364"/>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4" t="str">
        <f>_xlfn.CONCAT(_xlfn.XLOOKUP("[S05_DefaultValues][591][InstallationCategory]",Submission!$O:$O,Submission!$H:$N,""))</f>
        <v/>
      </c>
      <c r="D793" s="414"/>
      <c r="E793" s="414"/>
      <c r="F793" s="414"/>
      <c r="G793" s="364"/>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4" t="str">
        <f>_xlfn.CONCAT(_xlfn.XLOOKUP("[S05_DefaultValues][592][InstallationCategory]",Submission!$O:$O,Submission!$H:$N,""))</f>
        <v/>
      </c>
      <c r="D794" s="414"/>
      <c r="E794" s="414"/>
      <c r="F794" s="414"/>
      <c r="G794" s="364"/>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4" t="str">
        <f>_xlfn.CONCAT(_xlfn.XLOOKUP("[S05_DefaultValues][593][InstallationCategory]",Submission!$O:$O,Submission!$H:$N,""))</f>
        <v/>
      </c>
      <c r="D795" s="414"/>
      <c r="E795" s="414"/>
      <c r="F795" s="414"/>
      <c r="G795" s="364"/>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4" t="str">
        <f>_xlfn.CONCAT(_xlfn.XLOOKUP("[S05_DefaultValues][594][InstallationCategory]",Submission!$O:$O,Submission!$H:$N,""))</f>
        <v/>
      </c>
      <c r="D796" s="414"/>
      <c r="E796" s="414"/>
      <c r="F796" s="414"/>
      <c r="G796" s="364"/>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4" t="str">
        <f>_xlfn.CONCAT(_xlfn.XLOOKUP("[S05_DefaultValues][595][InstallationCategory]",Submission!$O:$O,Submission!$H:$N,""))</f>
        <v/>
      </c>
      <c r="D797" s="414"/>
      <c r="E797" s="414"/>
      <c r="F797" s="414"/>
      <c r="G797" s="364"/>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4" t="str">
        <f>_xlfn.CONCAT(_xlfn.XLOOKUP("[S05_DefaultValues][596][InstallationCategory]",Submission!$O:$O,Submission!$H:$N,""))</f>
        <v/>
      </c>
      <c r="D798" s="414"/>
      <c r="E798" s="414"/>
      <c r="F798" s="414"/>
      <c r="G798" s="364"/>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4" t="str">
        <f>_xlfn.CONCAT(_xlfn.XLOOKUP("[S05_DefaultValues][597][InstallationCategory]",Submission!$O:$O,Submission!$H:$N,""))</f>
        <v/>
      </c>
      <c r="D799" s="414"/>
      <c r="E799" s="414"/>
      <c r="F799" s="414"/>
      <c r="G799" s="364"/>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4" t="str">
        <f>_xlfn.CONCAT(_xlfn.XLOOKUP("[S05_DefaultValues][598][InstallationCategory]",Submission!$O:$O,Submission!$H:$N,""))</f>
        <v/>
      </c>
      <c r="D800" s="414"/>
      <c r="E800" s="414"/>
      <c r="F800" s="414"/>
      <c r="G800" s="364"/>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4" t="str">
        <f>_xlfn.CONCAT(_xlfn.XLOOKUP("[S05_DefaultValues][599][InstallationCategory]",Submission!$O:$O,Submission!$H:$N,""))</f>
        <v/>
      </c>
      <c r="D801" s="414"/>
      <c r="E801" s="414"/>
      <c r="F801" s="414"/>
      <c r="G801" s="364"/>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4" t="str">
        <f>_xlfn.CONCAT(_xlfn.XLOOKUP("[S05_DefaultValues][600][InstallationCategory]",Submission!$O:$O,Submission!$H:$N,""))</f>
        <v/>
      </c>
      <c r="D802" s="414"/>
      <c r="E802" s="414"/>
      <c r="F802" s="414"/>
      <c r="G802" s="364"/>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4" t="str">
        <f>_xlfn.CONCAT(_xlfn.XLOOKUP("[S05_DefaultValues][601][InstallationCategory]",Submission!$O:$O,Submission!$H:$N,""))</f>
        <v/>
      </c>
      <c r="D803" s="414"/>
      <c r="E803" s="414"/>
      <c r="F803" s="414"/>
      <c r="G803" s="364"/>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4" t="str">
        <f>_xlfn.CONCAT(_xlfn.XLOOKUP("[S05_DefaultValues][602][InstallationCategory]",Submission!$O:$O,Submission!$H:$N,""))</f>
        <v/>
      </c>
      <c r="D804" s="414"/>
      <c r="E804" s="414"/>
      <c r="F804" s="414"/>
      <c r="G804" s="364"/>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4" t="str">
        <f>_xlfn.CONCAT(_xlfn.XLOOKUP("[S05_DefaultValues][603][InstallationCategory]",Submission!$O:$O,Submission!$H:$N,""))</f>
        <v/>
      </c>
      <c r="D805" s="414"/>
      <c r="E805" s="414"/>
      <c r="F805" s="414"/>
      <c r="G805" s="364"/>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4" t="str">
        <f>_xlfn.CONCAT(_xlfn.XLOOKUP("[S05_DefaultValues][604][InstallationCategory]",Submission!$O:$O,Submission!$H:$N,""))</f>
        <v/>
      </c>
      <c r="D806" s="414"/>
      <c r="E806" s="414"/>
      <c r="F806" s="414"/>
      <c r="G806" s="364"/>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4" t="str">
        <f>_xlfn.CONCAT(_xlfn.XLOOKUP("[S05_DefaultValues][605][InstallationCategory]",Submission!$O:$O,Submission!$H:$N,""))</f>
        <v/>
      </c>
      <c r="D807" s="414"/>
      <c r="E807" s="414"/>
      <c r="F807" s="414"/>
      <c r="G807" s="364"/>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4" t="str">
        <f>_xlfn.CONCAT(_xlfn.XLOOKUP("[S05_DefaultValues][606][InstallationCategory]",Submission!$O:$O,Submission!$H:$N,""))</f>
        <v/>
      </c>
      <c r="D808" s="414"/>
      <c r="E808" s="414"/>
      <c r="F808" s="414"/>
      <c r="G808" s="364"/>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4" t="str">
        <f>_xlfn.CONCAT(_xlfn.XLOOKUP("[S05_DefaultValues][607][InstallationCategory]",Submission!$O:$O,Submission!$H:$N,""))</f>
        <v/>
      </c>
      <c r="D809" s="414"/>
      <c r="E809" s="414"/>
      <c r="F809" s="414"/>
      <c r="G809" s="364"/>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4" t="str">
        <f>_xlfn.CONCAT(_xlfn.XLOOKUP("[S05_DefaultValues][608][InstallationCategory]",Submission!$O:$O,Submission!$H:$N,""))</f>
        <v/>
      </c>
      <c r="D810" s="414"/>
      <c r="E810" s="414"/>
      <c r="F810" s="414"/>
      <c r="G810" s="364"/>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4" t="str">
        <f>_xlfn.CONCAT(_xlfn.XLOOKUP("[S05_DefaultValues][609][InstallationCategory]",Submission!$O:$O,Submission!$H:$N,""))</f>
        <v/>
      </c>
      <c r="D811" s="414"/>
      <c r="E811" s="414"/>
      <c r="F811" s="414"/>
      <c r="G811" s="364"/>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4" t="str">
        <f>_xlfn.CONCAT(_xlfn.XLOOKUP("[S05_DefaultValues][610][InstallationCategory]",Submission!$O:$O,Submission!$H:$N,""))</f>
        <v/>
      </c>
      <c r="D812" s="414"/>
      <c r="E812" s="414"/>
      <c r="F812" s="414"/>
      <c r="G812" s="364"/>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4" t="str">
        <f>_xlfn.CONCAT(_xlfn.XLOOKUP("[S05_DefaultValues][611][InstallationCategory]",Submission!$O:$O,Submission!$H:$N,""))</f>
        <v/>
      </c>
      <c r="D813" s="414"/>
      <c r="E813" s="414"/>
      <c r="F813" s="414"/>
      <c r="G813" s="364"/>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4" t="str">
        <f>_xlfn.CONCAT(_xlfn.XLOOKUP("[S05_DefaultValues][612][InstallationCategory]",Submission!$O:$O,Submission!$H:$N,""))</f>
        <v/>
      </c>
      <c r="D814" s="414"/>
      <c r="E814" s="414"/>
      <c r="F814" s="414"/>
      <c r="G814" s="364"/>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4" t="str">
        <f>_xlfn.CONCAT(_xlfn.XLOOKUP("[S05_DefaultValues][613][InstallationCategory]",Submission!$O:$O,Submission!$H:$N,""))</f>
        <v/>
      </c>
      <c r="D815" s="414"/>
      <c r="E815" s="414"/>
      <c r="F815" s="414"/>
      <c r="G815" s="364"/>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4" t="str">
        <f>_xlfn.CONCAT(_xlfn.XLOOKUP("[S05_DefaultValues][614][InstallationCategory]",Submission!$O:$O,Submission!$H:$N,""))</f>
        <v/>
      </c>
      <c r="D816" s="414"/>
      <c r="E816" s="414"/>
      <c r="F816" s="414"/>
      <c r="G816" s="364"/>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4" t="str">
        <f>_xlfn.CONCAT(_xlfn.XLOOKUP("[S05_DefaultValues][615][InstallationCategory]",Submission!$O:$O,Submission!$H:$N,""))</f>
        <v/>
      </c>
      <c r="D817" s="414"/>
      <c r="E817" s="414"/>
      <c r="F817" s="414"/>
      <c r="G817" s="364"/>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4" t="str">
        <f>_xlfn.CONCAT(_xlfn.XLOOKUP("[S05_DefaultValues][616][InstallationCategory]",Submission!$O:$O,Submission!$H:$N,""))</f>
        <v/>
      </c>
      <c r="D818" s="414"/>
      <c r="E818" s="414"/>
      <c r="F818" s="414"/>
      <c r="G818" s="364"/>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4" t="str">
        <f>_xlfn.CONCAT(_xlfn.XLOOKUP("[S05_DefaultValues][617][InstallationCategory]",Submission!$O:$O,Submission!$H:$N,""))</f>
        <v/>
      </c>
      <c r="D819" s="414"/>
      <c r="E819" s="414"/>
      <c r="F819" s="414"/>
      <c r="G819" s="364"/>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4" t="str">
        <f>_xlfn.CONCAT(_xlfn.XLOOKUP("[S05_DefaultValues][618][InstallationCategory]",Submission!$O:$O,Submission!$H:$N,""))</f>
        <v/>
      </c>
      <c r="D820" s="414"/>
      <c r="E820" s="414"/>
      <c r="F820" s="414"/>
      <c r="G820" s="364"/>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4" t="str">
        <f>_xlfn.CONCAT(_xlfn.XLOOKUP("[S05_DefaultValues][619][InstallationCategory]",Submission!$O:$O,Submission!$H:$N,""))</f>
        <v/>
      </c>
      <c r="D821" s="414"/>
      <c r="E821" s="414"/>
      <c r="F821" s="414"/>
      <c r="G821" s="364"/>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4" t="str">
        <f>_xlfn.CONCAT(_xlfn.XLOOKUP("[S05_DefaultValues][620][InstallationCategory]",Submission!$O:$O,Submission!$H:$N,""))</f>
        <v/>
      </c>
      <c r="D822" s="414"/>
      <c r="E822" s="414"/>
      <c r="F822" s="414"/>
      <c r="G822" s="364"/>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4" t="str">
        <f>_xlfn.CONCAT(_xlfn.XLOOKUP("[S05_DefaultValues][621][InstallationCategory]",Submission!$O:$O,Submission!$H:$N,""))</f>
        <v/>
      </c>
      <c r="D823" s="414"/>
      <c r="E823" s="414"/>
      <c r="F823" s="414"/>
      <c r="G823" s="364"/>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4" t="str">
        <f>_xlfn.CONCAT(_xlfn.XLOOKUP("[S05_DefaultValues][622][InstallationCategory]",Submission!$O:$O,Submission!$H:$N,""))</f>
        <v/>
      </c>
      <c r="D824" s="414"/>
      <c r="E824" s="414"/>
      <c r="F824" s="414"/>
      <c r="G824" s="364"/>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4" t="str">
        <f>_xlfn.CONCAT(_xlfn.XLOOKUP("[S05_DefaultValues][623][InstallationCategory]",Submission!$O:$O,Submission!$H:$N,""))</f>
        <v/>
      </c>
      <c r="D825" s="414"/>
      <c r="E825" s="414"/>
      <c r="F825" s="414"/>
      <c r="G825" s="364"/>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4" t="str">
        <f>_xlfn.CONCAT(_xlfn.XLOOKUP("[S05_DefaultValues][624][InstallationCategory]",Submission!$O:$O,Submission!$H:$N,""))</f>
        <v/>
      </c>
      <c r="D826" s="414"/>
      <c r="E826" s="414"/>
      <c r="F826" s="414"/>
      <c r="G826" s="364"/>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4" t="str">
        <f>_xlfn.CONCAT(_xlfn.XLOOKUP("[S05_DefaultValues][625][InstallationCategory]",Submission!$O:$O,Submission!$H:$N,""))</f>
        <v/>
      </c>
      <c r="D827" s="414"/>
      <c r="E827" s="414"/>
      <c r="F827" s="414"/>
      <c r="G827" s="364"/>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4" t="str">
        <f>_xlfn.CONCAT(_xlfn.XLOOKUP("[S05_DefaultValues][626][InstallationCategory]",Submission!$O:$O,Submission!$H:$N,""))</f>
        <v/>
      </c>
      <c r="D828" s="414"/>
      <c r="E828" s="414"/>
      <c r="F828" s="414"/>
      <c r="G828" s="364"/>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4" t="str">
        <f>_xlfn.CONCAT(_xlfn.XLOOKUP("[S05_DefaultValues][627][InstallationCategory]",Submission!$O:$O,Submission!$H:$N,""))</f>
        <v/>
      </c>
      <c r="D829" s="414"/>
      <c r="E829" s="414"/>
      <c r="F829" s="414"/>
      <c r="G829" s="364"/>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4" t="str">
        <f>_xlfn.CONCAT(_xlfn.XLOOKUP("[S05_DefaultValues][628][InstallationCategory]",Submission!$O:$O,Submission!$H:$N,""))</f>
        <v/>
      </c>
      <c r="D830" s="414"/>
      <c r="E830" s="414"/>
      <c r="F830" s="414"/>
      <c r="G830" s="364"/>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4" t="str">
        <f>_xlfn.CONCAT(_xlfn.XLOOKUP("[S05_DefaultValues][629][InstallationCategory]",Submission!$O:$O,Submission!$H:$N,""))</f>
        <v/>
      </c>
      <c r="D831" s="414"/>
      <c r="E831" s="414"/>
      <c r="F831" s="414"/>
      <c r="G831" s="364"/>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4" t="str">
        <f>_xlfn.CONCAT(_xlfn.XLOOKUP("[S05_DefaultValues][630][InstallationCategory]",Submission!$O:$O,Submission!$H:$N,""))</f>
        <v/>
      </c>
      <c r="D832" s="414"/>
      <c r="E832" s="414"/>
      <c r="F832" s="414"/>
      <c r="G832" s="364"/>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4" t="str">
        <f>_xlfn.CONCAT(_xlfn.XLOOKUP("[S05_DefaultValues][631][InstallationCategory]",Submission!$O:$O,Submission!$H:$N,""))</f>
        <v/>
      </c>
      <c r="D833" s="414"/>
      <c r="E833" s="414"/>
      <c r="F833" s="414"/>
      <c r="G833" s="364"/>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4" t="str">
        <f>_xlfn.CONCAT(_xlfn.XLOOKUP("[S05_DefaultValues][632][InstallationCategory]",Submission!$O:$O,Submission!$H:$N,""))</f>
        <v/>
      </c>
      <c r="D834" s="414"/>
      <c r="E834" s="414"/>
      <c r="F834" s="414"/>
      <c r="G834" s="364"/>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4" t="str">
        <f>_xlfn.CONCAT(_xlfn.XLOOKUP("[S05_DefaultValues][633][InstallationCategory]",Submission!$O:$O,Submission!$H:$N,""))</f>
        <v/>
      </c>
      <c r="D835" s="414"/>
      <c r="E835" s="414"/>
      <c r="F835" s="414"/>
      <c r="G835" s="364"/>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4" t="str">
        <f>_xlfn.CONCAT(_xlfn.XLOOKUP("[S05_DefaultValues][634][InstallationCategory]",Submission!$O:$O,Submission!$H:$N,""))</f>
        <v/>
      </c>
      <c r="D836" s="414"/>
      <c r="E836" s="414"/>
      <c r="F836" s="414"/>
      <c r="G836" s="364"/>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4" t="str">
        <f>_xlfn.CONCAT(_xlfn.XLOOKUP("[S05_DefaultValues][635][InstallationCategory]",Submission!$O:$O,Submission!$H:$N,""))</f>
        <v/>
      </c>
      <c r="D837" s="414"/>
      <c r="E837" s="414"/>
      <c r="F837" s="414"/>
      <c r="G837" s="364"/>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4" t="str">
        <f>_xlfn.CONCAT(_xlfn.XLOOKUP("[S05_DefaultValues][636][InstallationCategory]",Submission!$O:$O,Submission!$H:$N,""))</f>
        <v/>
      </c>
      <c r="D838" s="414"/>
      <c r="E838" s="414"/>
      <c r="F838" s="414"/>
      <c r="G838" s="364"/>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4" t="str">
        <f>_xlfn.CONCAT(_xlfn.XLOOKUP("[S05_DefaultValues][637][InstallationCategory]",Submission!$O:$O,Submission!$H:$N,""))</f>
        <v/>
      </c>
      <c r="D839" s="414"/>
      <c r="E839" s="414"/>
      <c r="F839" s="414"/>
      <c r="G839" s="364"/>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4" t="str">
        <f>_xlfn.CONCAT(_xlfn.XLOOKUP("[S05_DefaultValues][638][InstallationCategory]",Submission!$O:$O,Submission!$H:$N,""))</f>
        <v/>
      </c>
      <c r="D840" s="414"/>
      <c r="E840" s="414"/>
      <c r="F840" s="414"/>
      <c r="G840" s="364"/>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4" t="str">
        <f>_xlfn.CONCAT(_xlfn.XLOOKUP("[S05_DefaultValues][639][InstallationCategory]",Submission!$O:$O,Submission!$H:$N,""))</f>
        <v/>
      </c>
      <c r="D841" s="414"/>
      <c r="E841" s="414"/>
      <c r="F841" s="414"/>
      <c r="G841" s="364"/>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4" t="str">
        <f>_xlfn.CONCAT(_xlfn.XLOOKUP("[S05_DefaultValues][640][InstallationCategory]",Submission!$O:$O,Submission!$H:$N,""))</f>
        <v/>
      </c>
      <c r="D842" s="414"/>
      <c r="E842" s="414"/>
      <c r="F842" s="414"/>
      <c r="G842" s="364"/>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4" t="str">
        <f>_xlfn.CONCAT(_xlfn.XLOOKUP("[S05_DefaultValues][641][InstallationCategory]",Submission!$O:$O,Submission!$H:$N,""))</f>
        <v/>
      </c>
      <c r="D843" s="414"/>
      <c r="E843" s="414"/>
      <c r="F843" s="414"/>
      <c r="G843" s="364"/>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4" t="str">
        <f>_xlfn.CONCAT(_xlfn.XLOOKUP("[S05_DefaultValues][642][InstallationCategory]",Submission!$O:$O,Submission!$H:$N,""))</f>
        <v/>
      </c>
      <c r="D844" s="414"/>
      <c r="E844" s="414"/>
      <c r="F844" s="414"/>
      <c r="G844" s="364"/>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4" t="str">
        <f>_xlfn.CONCAT(_xlfn.XLOOKUP("[S05_DefaultValues][643][InstallationCategory]",Submission!$O:$O,Submission!$H:$N,""))</f>
        <v/>
      </c>
      <c r="D845" s="414"/>
      <c r="E845" s="414"/>
      <c r="F845" s="414"/>
      <c r="G845" s="364"/>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4" t="str">
        <f>_xlfn.CONCAT(_xlfn.XLOOKUP("[S05_DefaultValues][644][InstallationCategory]",Submission!$O:$O,Submission!$H:$N,""))</f>
        <v/>
      </c>
      <c r="D846" s="414"/>
      <c r="E846" s="414"/>
      <c r="F846" s="414"/>
      <c r="G846" s="364"/>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4" t="str">
        <f>_xlfn.CONCAT(_xlfn.XLOOKUP("[S05_DefaultValues][645][InstallationCategory]",Submission!$O:$O,Submission!$H:$N,""))</f>
        <v/>
      </c>
      <c r="D847" s="414"/>
      <c r="E847" s="414"/>
      <c r="F847" s="414"/>
      <c r="G847" s="364"/>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4" t="str">
        <f>_xlfn.CONCAT(_xlfn.XLOOKUP("[S05_DefaultValues][646][InstallationCategory]",Submission!$O:$O,Submission!$H:$N,""))</f>
        <v/>
      </c>
      <c r="D848" s="414"/>
      <c r="E848" s="414"/>
      <c r="F848" s="414"/>
      <c r="G848" s="364"/>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4" t="str">
        <f>_xlfn.CONCAT(_xlfn.XLOOKUP("[S05_DefaultValues][647][InstallationCategory]",Submission!$O:$O,Submission!$H:$N,""))</f>
        <v/>
      </c>
      <c r="D849" s="414"/>
      <c r="E849" s="414"/>
      <c r="F849" s="414"/>
      <c r="G849" s="364"/>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4" t="str">
        <f>_xlfn.CONCAT(_xlfn.XLOOKUP("[S05_DefaultValues][648][InstallationCategory]",Submission!$O:$O,Submission!$H:$N,""))</f>
        <v/>
      </c>
      <c r="D850" s="414"/>
      <c r="E850" s="414"/>
      <c r="F850" s="414"/>
      <c r="G850" s="364"/>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4" t="str">
        <f>_xlfn.CONCAT(_xlfn.XLOOKUP("[S05_DefaultValues][649][InstallationCategory]",Submission!$O:$O,Submission!$H:$N,""))</f>
        <v/>
      </c>
      <c r="D851" s="414"/>
      <c r="E851" s="414"/>
      <c r="F851" s="414"/>
      <c r="G851" s="364"/>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4" t="str">
        <f>_xlfn.CONCAT(_xlfn.XLOOKUP("[S05_DefaultValues][650][InstallationCategory]",Submission!$O:$O,Submission!$H:$N,""))</f>
        <v/>
      </c>
      <c r="D852" s="414"/>
      <c r="E852" s="414"/>
      <c r="F852" s="414"/>
      <c r="G852" s="364"/>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4" t="str">
        <f>_xlfn.CONCAT(_xlfn.XLOOKUP("[S05_DefaultValues][651][InstallationCategory]",Submission!$O:$O,Submission!$H:$N,""))</f>
        <v/>
      </c>
      <c r="D853" s="414"/>
      <c r="E853" s="414"/>
      <c r="F853" s="414"/>
      <c r="G853" s="364"/>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4" t="str">
        <f>_xlfn.CONCAT(_xlfn.XLOOKUP("[S05_DefaultValues][652][InstallationCategory]",Submission!$O:$O,Submission!$H:$N,""))</f>
        <v/>
      </c>
      <c r="D854" s="414"/>
      <c r="E854" s="414"/>
      <c r="F854" s="414"/>
      <c r="G854" s="364"/>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4" t="str">
        <f>_xlfn.CONCAT(_xlfn.XLOOKUP("[S05_DefaultValues][653][InstallationCategory]",Submission!$O:$O,Submission!$H:$N,""))</f>
        <v/>
      </c>
      <c r="D855" s="414"/>
      <c r="E855" s="414"/>
      <c r="F855" s="414"/>
      <c r="G855" s="364"/>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4" t="str">
        <f>_xlfn.CONCAT(_xlfn.XLOOKUP("[S05_DefaultValues][654][InstallationCategory]",Submission!$O:$O,Submission!$H:$N,""))</f>
        <v/>
      </c>
      <c r="D856" s="414"/>
      <c r="E856" s="414"/>
      <c r="F856" s="414"/>
      <c r="G856" s="364"/>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4" t="str">
        <f>_xlfn.CONCAT(_xlfn.XLOOKUP("[S05_DefaultValues][655][InstallationCategory]",Submission!$O:$O,Submission!$H:$N,""))</f>
        <v/>
      </c>
      <c r="D857" s="414"/>
      <c r="E857" s="414"/>
      <c r="F857" s="414"/>
      <c r="G857" s="364"/>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4" t="str">
        <f>_xlfn.CONCAT(_xlfn.XLOOKUP("[S05_DefaultValues][656][InstallationCategory]",Submission!$O:$O,Submission!$H:$N,""))</f>
        <v/>
      </c>
      <c r="D858" s="414"/>
      <c r="E858" s="414"/>
      <c r="F858" s="414"/>
      <c r="G858" s="364"/>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4" t="str">
        <f>_xlfn.CONCAT(_xlfn.XLOOKUP("[S05_DefaultValues][657][InstallationCategory]",Submission!$O:$O,Submission!$H:$N,""))</f>
        <v/>
      </c>
      <c r="D859" s="414"/>
      <c r="E859" s="414"/>
      <c r="F859" s="414"/>
      <c r="G859" s="364"/>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4" t="str">
        <f>_xlfn.CONCAT(_xlfn.XLOOKUP("[S05_DefaultValues][658][InstallationCategory]",Submission!$O:$O,Submission!$H:$N,""))</f>
        <v/>
      </c>
      <c r="D860" s="414"/>
      <c r="E860" s="414"/>
      <c r="F860" s="414"/>
      <c r="G860" s="364"/>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4" t="str">
        <f>_xlfn.CONCAT(_xlfn.XLOOKUP("[S05_DefaultValues][659][InstallationCategory]",Submission!$O:$O,Submission!$H:$N,""))</f>
        <v/>
      </c>
      <c r="D861" s="414"/>
      <c r="E861" s="414"/>
      <c r="F861" s="414"/>
      <c r="G861" s="364"/>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4" t="str">
        <f>_xlfn.CONCAT(_xlfn.XLOOKUP("[S05_DefaultValues][660][InstallationCategory]",Submission!$O:$O,Submission!$H:$N,""))</f>
        <v/>
      </c>
      <c r="D862" s="414"/>
      <c r="E862" s="414"/>
      <c r="F862" s="414"/>
      <c r="G862" s="364"/>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4" t="str">
        <f>_xlfn.CONCAT(_xlfn.XLOOKUP("[S05_DefaultValues][661][InstallationCategory]",Submission!$O:$O,Submission!$H:$N,""))</f>
        <v/>
      </c>
      <c r="D863" s="414"/>
      <c r="E863" s="414"/>
      <c r="F863" s="414"/>
      <c r="G863" s="364"/>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4" t="str">
        <f>_xlfn.CONCAT(_xlfn.XLOOKUP("[S05_DefaultValues][662][InstallationCategory]",Submission!$O:$O,Submission!$H:$N,""))</f>
        <v/>
      </c>
      <c r="D864" s="414"/>
      <c r="E864" s="414"/>
      <c r="F864" s="414"/>
      <c r="G864" s="364"/>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4" t="str">
        <f>_xlfn.CONCAT(_xlfn.XLOOKUP("[S05_DefaultValues][663][InstallationCategory]",Submission!$O:$O,Submission!$H:$N,""))</f>
        <v/>
      </c>
      <c r="D865" s="414"/>
      <c r="E865" s="414"/>
      <c r="F865" s="414"/>
      <c r="G865" s="364"/>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4" t="str">
        <f>_xlfn.CONCAT(_xlfn.XLOOKUP("[S05_DefaultValues][664][InstallationCategory]",Submission!$O:$O,Submission!$H:$N,""))</f>
        <v/>
      </c>
      <c r="D866" s="414"/>
      <c r="E866" s="414"/>
      <c r="F866" s="414"/>
      <c r="G866" s="364"/>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4" t="str">
        <f>_xlfn.CONCAT(_xlfn.XLOOKUP("[S05_DefaultValues][665][InstallationCategory]",Submission!$O:$O,Submission!$H:$N,""))</f>
        <v/>
      </c>
      <c r="D867" s="414"/>
      <c r="E867" s="414"/>
      <c r="F867" s="414"/>
      <c r="G867" s="364"/>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4" t="str">
        <f>_xlfn.CONCAT(_xlfn.XLOOKUP("[S05_DefaultValues][666][InstallationCategory]",Submission!$O:$O,Submission!$H:$N,""))</f>
        <v/>
      </c>
      <c r="D868" s="414"/>
      <c r="E868" s="414"/>
      <c r="F868" s="414"/>
      <c r="G868" s="364"/>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4" t="str">
        <f>_xlfn.CONCAT(_xlfn.XLOOKUP("[S05_DefaultValues][667][InstallationCategory]",Submission!$O:$O,Submission!$H:$N,""))</f>
        <v/>
      </c>
      <c r="D869" s="414"/>
      <c r="E869" s="414"/>
      <c r="F869" s="414"/>
      <c r="G869" s="364"/>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4" t="str">
        <f>_xlfn.CONCAT(_xlfn.XLOOKUP("[S05_DefaultValues][668][InstallationCategory]",Submission!$O:$O,Submission!$H:$N,""))</f>
        <v/>
      </c>
      <c r="D870" s="414"/>
      <c r="E870" s="414"/>
      <c r="F870" s="414"/>
      <c r="G870" s="364"/>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4" t="str">
        <f>_xlfn.CONCAT(_xlfn.XLOOKUP("[S05_DefaultValues][669][InstallationCategory]",Submission!$O:$O,Submission!$H:$N,""))</f>
        <v/>
      </c>
      <c r="D871" s="414"/>
      <c r="E871" s="414"/>
      <c r="F871" s="414"/>
      <c r="G871" s="364"/>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4" t="str">
        <f>_xlfn.CONCAT(_xlfn.XLOOKUP("[S05_DefaultValues][670][InstallationCategory]",Submission!$O:$O,Submission!$H:$N,""))</f>
        <v/>
      </c>
      <c r="D872" s="414"/>
      <c r="E872" s="414"/>
      <c r="F872" s="414"/>
      <c r="G872" s="364"/>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4" t="str">
        <f>_xlfn.CONCAT(_xlfn.XLOOKUP("[S05_DefaultValues][671][InstallationCategory]",Submission!$O:$O,Submission!$H:$N,""))</f>
        <v/>
      </c>
      <c r="D873" s="414"/>
      <c r="E873" s="414"/>
      <c r="F873" s="414"/>
      <c r="G873" s="364"/>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4" t="str">
        <f>_xlfn.CONCAT(_xlfn.XLOOKUP("[S05_DefaultValues][672][InstallationCategory]",Submission!$O:$O,Submission!$H:$N,""))</f>
        <v/>
      </c>
      <c r="D874" s="414"/>
      <c r="E874" s="414"/>
      <c r="F874" s="414"/>
      <c r="G874" s="364"/>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4" t="str">
        <f>_xlfn.CONCAT(_xlfn.XLOOKUP("[S05_DefaultValues][673][InstallationCategory]",Submission!$O:$O,Submission!$H:$N,""))</f>
        <v/>
      </c>
      <c r="D875" s="414"/>
      <c r="E875" s="414"/>
      <c r="F875" s="414"/>
      <c r="G875" s="364"/>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4" t="str">
        <f>_xlfn.CONCAT(_xlfn.XLOOKUP("[S05_DefaultValues][674][InstallationCategory]",Submission!$O:$O,Submission!$H:$N,""))</f>
        <v/>
      </c>
      <c r="D876" s="414"/>
      <c r="E876" s="414"/>
      <c r="F876" s="414"/>
      <c r="G876" s="364"/>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4" t="str">
        <f>_xlfn.CONCAT(_xlfn.XLOOKUP("[S05_DefaultValues][675][InstallationCategory]",Submission!$O:$O,Submission!$H:$N,""))</f>
        <v/>
      </c>
      <c r="D877" s="414"/>
      <c r="E877" s="414"/>
      <c r="F877" s="414"/>
      <c r="G877" s="364"/>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4" t="str">
        <f>_xlfn.CONCAT(_xlfn.XLOOKUP("[S05_DefaultValues][676][InstallationCategory]",Submission!$O:$O,Submission!$H:$N,""))</f>
        <v/>
      </c>
      <c r="D878" s="414"/>
      <c r="E878" s="414"/>
      <c r="F878" s="414"/>
      <c r="G878" s="364"/>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4" t="str">
        <f>_xlfn.CONCAT(_xlfn.XLOOKUP("[S05_DefaultValues][677][InstallationCategory]",Submission!$O:$O,Submission!$H:$N,""))</f>
        <v/>
      </c>
      <c r="D879" s="414"/>
      <c r="E879" s="414"/>
      <c r="F879" s="414"/>
      <c r="G879" s="364"/>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4" t="str">
        <f>_xlfn.CONCAT(_xlfn.XLOOKUP("[S05_DefaultValues][678][InstallationCategory]",Submission!$O:$O,Submission!$H:$N,""))</f>
        <v/>
      </c>
      <c r="D880" s="414"/>
      <c r="E880" s="414"/>
      <c r="F880" s="414"/>
      <c r="G880" s="364"/>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4" t="str">
        <f>_xlfn.CONCAT(_xlfn.XLOOKUP("[S05_DefaultValues][679][InstallationCategory]",Submission!$O:$O,Submission!$H:$N,""))</f>
        <v/>
      </c>
      <c r="D881" s="414"/>
      <c r="E881" s="414"/>
      <c r="F881" s="414"/>
      <c r="G881" s="364"/>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4" t="str">
        <f>_xlfn.CONCAT(_xlfn.XLOOKUP("[S05_DefaultValues][680][InstallationCategory]",Submission!$O:$O,Submission!$H:$N,""))</f>
        <v/>
      </c>
      <c r="D882" s="414"/>
      <c r="E882" s="414"/>
      <c r="F882" s="414"/>
      <c r="G882" s="364"/>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4" t="str">
        <f>_xlfn.CONCAT(_xlfn.XLOOKUP("[S05_DefaultValues][681][InstallationCategory]",Submission!$O:$O,Submission!$H:$N,""))</f>
        <v/>
      </c>
      <c r="D883" s="414"/>
      <c r="E883" s="414"/>
      <c r="F883" s="414"/>
      <c r="G883" s="364"/>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4" t="str">
        <f>_xlfn.CONCAT(_xlfn.XLOOKUP("[S05_DefaultValues][682][InstallationCategory]",Submission!$O:$O,Submission!$H:$N,""))</f>
        <v/>
      </c>
      <c r="D884" s="414"/>
      <c r="E884" s="414"/>
      <c r="F884" s="414"/>
      <c r="G884" s="364"/>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4" t="str">
        <f>_xlfn.CONCAT(_xlfn.XLOOKUP("[S05_DefaultValues][683][InstallationCategory]",Submission!$O:$O,Submission!$H:$N,""))</f>
        <v/>
      </c>
      <c r="D885" s="414"/>
      <c r="E885" s="414"/>
      <c r="F885" s="414"/>
      <c r="G885" s="364"/>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4" t="str">
        <f>_xlfn.CONCAT(_xlfn.XLOOKUP("[S05_DefaultValues][684][InstallationCategory]",Submission!$O:$O,Submission!$H:$N,""))</f>
        <v/>
      </c>
      <c r="D886" s="414"/>
      <c r="E886" s="414"/>
      <c r="F886" s="414"/>
      <c r="G886" s="364"/>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4" t="str">
        <f>_xlfn.CONCAT(_xlfn.XLOOKUP("[S05_DefaultValues][685][InstallationCategory]",Submission!$O:$O,Submission!$H:$N,""))</f>
        <v/>
      </c>
      <c r="D887" s="414"/>
      <c r="E887" s="414"/>
      <c r="F887" s="414"/>
      <c r="G887" s="364"/>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4" t="str">
        <f>_xlfn.CONCAT(_xlfn.XLOOKUP("[S05_DefaultValues][686][InstallationCategory]",Submission!$O:$O,Submission!$H:$N,""))</f>
        <v/>
      </c>
      <c r="D888" s="414"/>
      <c r="E888" s="414"/>
      <c r="F888" s="414"/>
      <c r="G888" s="364"/>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4" t="str">
        <f>_xlfn.CONCAT(_xlfn.XLOOKUP("[S05_DefaultValues][687][InstallationCategory]",Submission!$O:$O,Submission!$H:$N,""))</f>
        <v/>
      </c>
      <c r="D889" s="414"/>
      <c r="E889" s="414"/>
      <c r="F889" s="414"/>
      <c r="G889" s="364"/>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4" t="str">
        <f>_xlfn.CONCAT(_xlfn.XLOOKUP("[S05_DefaultValues][688][InstallationCategory]",Submission!$O:$O,Submission!$H:$N,""))</f>
        <v/>
      </c>
      <c r="D890" s="414"/>
      <c r="E890" s="414"/>
      <c r="F890" s="414"/>
      <c r="G890" s="364"/>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4" t="str">
        <f>_xlfn.CONCAT(_xlfn.XLOOKUP("[S05_DefaultValues][689][InstallationCategory]",Submission!$O:$O,Submission!$H:$N,""))</f>
        <v/>
      </c>
      <c r="D891" s="414"/>
      <c r="E891" s="414"/>
      <c r="F891" s="414"/>
      <c r="G891" s="364"/>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4" t="str">
        <f>_xlfn.CONCAT(_xlfn.XLOOKUP("[S05_DefaultValues][690][InstallationCategory]",Submission!$O:$O,Submission!$H:$N,""))</f>
        <v/>
      </c>
      <c r="D892" s="414"/>
      <c r="E892" s="414"/>
      <c r="F892" s="414"/>
      <c r="G892" s="364"/>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4" t="str">
        <f>_xlfn.CONCAT(_xlfn.XLOOKUP("[S05_DefaultValues][691][InstallationCategory]",Submission!$O:$O,Submission!$H:$N,""))</f>
        <v/>
      </c>
      <c r="D893" s="414"/>
      <c r="E893" s="414"/>
      <c r="F893" s="414"/>
      <c r="G893" s="364"/>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4" t="str">
        <f>_xlfn.CONCAT(_xlfn.XLOOKUP("[S05_DefaultValues][692][InstallationCategory]",Submission!$O:$O,Submission!$H:$N,""))</f>
        <v/>
      </c>
      <c r="D894" s="414"/>
      <c r="E894" s="414"/>
      <c r="F894" s="414"/>
      <c r="G894" s="364"/>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4" t="str">
        <f>_xlfn.CONCAT(_xlfn.XLOOKUP("[S05_DefaultValues][693][InstallationCategory]",Submission!$O:$O,Submission!$H:$N,""))</f>
        <v/>
      </c>
      <c r="D895" s="414"/>
      <c r="E895" s="414"/>
      <c r="F895" s="414"/>
      <c r="G895" s="364"/>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4" t="str">
        <f>_xlfn.CONCAT(_xlfn.XLOOKUP("[S05_DefaultValues][694][InstallationCategory]",Submission!$O:$O,Submission!$H:$N,""))</f>
        <v/>
      </c>
      <c r="D896" s="414"/>
      <c r="E896" s="414"/>
      <c r="F896" s="414"/>
      <c r="G896" s="364"/>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4" t="str">
        <f>_xlfn.CONCAT(_xlfn.XLOOKUP("[S05_DefaultValues][695][InstallationCategory]",Submission!$O:$O,Submission!$H:$N,""))</f>
        <v/>
      </c>
      <c r="D897" s="414"/>
      <c r="E897" s="414"/>
      <c r="F897" s="414"/>
      <c r="G897" s="364"/>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4" t="str">
        <f>_xlfn.CONCAT(_xlfn.XLOOKUP("[S05_DefaultValues][696][InstallationCategory]",Submission!$O:$O,Submission!$H:$N,""))</f>
        <v/>
      </c>
      <c r="D898" s="414"/>
      <c r="E898" s="414"/>
      <c r="F898" s="414"/>
      <c r="G898" s="364"/>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4" t="str">
        <f>_xlfn.CONCAT(_xlfn.XLOOKUP("[S05_DefaultValues][697][InstallationCategory]",Submission!$O:$O,Submission!$H:$N,""))</f>
        <v/>
      </c>
      <c r="D899" s="414"/>
      <c r="E899" s="414"/>
      <c r="F899" s="414"/>
      <c r="G899" s="364"/>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4" t="str">
        <f>_xlfn.CONCAT(_xlfn.XLOOKUP("[S05_DefaultValues][698][InstallationCategory]",Submission!$O:$O,Submission!$H:$N,""))</f>
        <v/>
      </c>
      <c r="D900" s="414"/>
      <c r="E900" s="414"/>
      <c r="F900" s="414"/>
      <c r="G900" s="364"/>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4" t="str">
        <f>_xlfn.CONCAT(_xlfn.XLOOKUP("[S05_DefaultValues][699][InstallationCategory]",Submission!$O:$O,Submission!$H:$N,""))</f>
        <v/>
      </c>
      <c r="D901" s="414"/>
      <c r="E901" s="414"/>
      <c r="F901" s="414"/>
      <c r="G901" s="364"/>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4" t="str">
        <f>_xlfn.CONCAT(_xlfn.XLOOKUP("[S05_DefaultValues][700][InstallationCategory]",Submission!$O:$O,Submission!$H:$N,""))</f>
        <v/>
      </c>
      <c r="D902" s="414"/>
      <c r="E902" s="414"/>
      <c r="F902" s="414"/>
      <c r="G902" s="364"/>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4" t="str">
        <f>_xlfn.CONCAT(_xlfn.XLOOKUP("[S05_DefaultValues][701][InstallationCategory]",Submission!$O:$O,Submission!$H:$N,""))</f>
        <v/>
      </c>
      <c r="D903" s="414"/>
      <c r="E903" s="414"/>
      <c r="F903" s="414"/>
      <c r="G903" s="364"/>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4" t="str">
        <f>_xlfn.CONCAT(_xlfn.XLOOKUP("[S05_DefaultValues][702][InstallationCategory]",Submission!$O:$O,Submission!$H:$N,""))</f>
        <v/>
      </c>
      <c r="D904" s="414"/>
      <c r="E904" s="414"/>
      <c r="F904" s="414"/>
      <c r="G904" s="364"/>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4" t="str">
        <f>_xlfn.CONCAT(_xlfn.XLOOKUP("[S05_DefaultValues][703][InstallationCategory]",Submission!$O:$O,Submission!$H:$N,""))</f>
        <v/>
      </c>
      <c r="D905" s="414"/>
      <c r="E905" s="414"/>
      <c r="F905" s="414"/>
      <c r="G905" s="364"/>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4" t="str">
        <f>_xlfn.CONCAT(_xlfn.XLOOKUP("[S05_DefaultValues][704][InstallationCategory]",Submission!$O:$O,Submission!$H:$N,""))</f>
        <v/>
      </c>
      <c r="D906" s="414"/>
      <c r="E906" s="414"/>
      <c r="F906" s="414"/>
      <c r="G906" s="364"/>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4" t="str">
        <f>_xlfn.CONCAT(_xlfn.XLOOKUP("[S05_DefaultValues][705][InstallationCategory]",Submission!$O:$O,Submission!$H:$N,""))</f>
        <v/>
      </c>
      <c r="D907" s="414"/>
      <c r="E907" s="414"/>
      <c r="F907" s="414"/>
      <c r="G907" s="364"/>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4" t="str">
        <f>_xlfn.CONCAT(_xlfn.XLOOKUP("[S05_DefaultValues][706][InstallationCategory]",Submission!$O:$O,Submission!$H:$N,""))</f>
        <v/>
      </c>
      <c r="D908" s="414"/>
      <c r="E908" s="414"/>
      <c r="F908" s="414"/>
      <c r="G908" s="364"/>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4" t="str">
        <f>_xlfn.CONCAT(_xlfn.XLOOKUP("[S05_DefaultValues][707][InstallationCategory]",Submission!$O:$O,Submission!$H:$N,""))</f>
        <v/>
      </c>
      <c r="D909" s="414"/>
      <c r="E909" s="414"/>
      <c r="F909" s="414"/>
      <c r="G909" s="364"/>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4" t="str">
        <f>_xlfn.CONCAT(_xlfn.XLOOKUP("[S05_DefaultValues][708][InstallationCategory]",Submission!$O:$O,Submission!$H:$N,""))</f>
        <v/>
      </c>
      <c r="D910" s="414"/>
      <c r="E910" s="414"/>
      <c r="F910" s="414"/>
      <c r="G910" s="364"/>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4" t="str">
        <f>_xlfn.CONCAT(_xlfn.XLOOKUP("[S05_DefaultValues][709][InstallationCategory]",Submission!$O:$O,Submission!$H:$N,""))</f>
        <v/>
      </c>
      <c r="D911" s="414"/>
      <c r="E911" s="414"/>
      <c r="F911" s="414"/>
      <c r="G911" s="364"/>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4" t="str">
        <f>_xlfn.CONCAT(_xlfn.XLOOKUP("[S05_DefaultValues][710][InstallationCategory]",Submission!$O:$O,Submission!$H:$N,""))</f>
        <v/>
      </c>
      <c r="D912" s="414"/>
      <c r="E912" s="414"/>
      <c r="F912" s="414"/>
      <c r="G912" s="364"/>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4" t="str">
        <f>_xlfn.CONCAT(_xlfn.XLOOKUP("[S05_DefaultValues][711][InstallationCategory]",Submission!$O:$O,Submission!$H:$N,""))</f>
        <v/>
      </c>
      <c r="D913" s="414"/>
      <c r="E913" s="414"/>
      <c r="F913" s="414"/>
      <c r="G913" s="364"/>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4" t="str">
        <f>_xlfn.CONCAT(_xlfn.XLOOKUP("[S05_DefaultValues][712][InstallationCategory]",Submission!$O:$O,Submission!$H:$N,""))</f>
        <v/>
      </c>
      <c r="D914" s="414"/>
      <c r="E914" s="414"/>
      <c r="F914" s="414"/>
      <c r="G914" s="364"/>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4" t="str">
        <f>_xlfn.CONCAT(_xlfn.XLOOKUP("[S05_DefaultValues][713][InstallationCategory]",Submission!$O:$O,Submission!$H:$N,""))</f>
        <v/>
      </c>
      <c r="D915" s="414"/>
      <c r="E915" s="414"/>
      <c r="F915" s="414"/>
      <c r="G915" s="364"/>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4" t="str">
        <f>_xlfn.CONCAT(_xlfn.XLOOKUP("[S05_DefaultValues][714][InstallationCategory]",Submission!$O:$O,Submission!$H:$N,""))</f>
        <v/>
      </c>
      <c r="D916" s="414"/>
      <c r="E916" s="414"/>
      <c r="F916" s="414"/>
      <c r="G916" s="364"/>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4" t="str">
        <f>_xlfn.CONCAT(_xlfn.XLOOKUP("[S05_DefaultValues][715][InstallationCategory]",Submission!$O:$O,Submission!$H:$N,""))</f>
        <v/>
      </c>
      <c r="D917" s="414"/>
      <c r="E917" s="414"/>
      <c r="F917" s="414"/>
      <c r="G917" s="364"/>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4" t="str">
        <f>_xlfn.CONCAT(_xlfn.XLOOKUP("[S05_DefaultValues][716][InstallationCategory]",Submission!$O:$O,Submission!$H:$N,""))</f>
        <v/>
      </c>
      <c r="D918" s="414"/>
      <c r="E918" s="414"/>
      <c r="F918" s="414"/>
      <c r="G918" s="364"/>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4" t="str">
        <f>_xlfn.CONCAT(_xlfn.XLOOKUP("[S05_DefaultValues][717][InstallationCategory]",Submission!$O:$O,Submission!$H:$N,""))</f>
        <v/>
      </c>
      <c r="D919" s="414"/>
      <c r="E919" s="414"/>
      <c r="F919" s="414"/>
      <c r="G919" s="364"/>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4" t="str">
        <f>_xlfn.CONCAT(_xlfn.XLOOKUP("[S05_DefaultValues][718][InstallationCategory]",Submission!$O:$O,Submission!$H:$N,""))</f>
        <v/>
      </c>
      <c r="D920" s="414"/>
      <c r="E920" s="414"/>
      <c r="F920" s="414"/>
      <c r="G920" s="364"/>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4" t="str">
        <f>_xlfn.CONCAT(_xlfn.XLOOKUP("[S05_DefaultValues][719][InstallationCategory]",Submission!$O:$O,Submission!$H:$N,""))</f>
        <v/>
      </c>
      <c r="D921" s="414"/>
      <c r="E921" s="414"/>
      <c r="F921" s="414"/>
      <c r="G921" s="364"/>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4" t="str">
        <f>_xlfn.CONCAT(_xlfn.XLOOKUP("[S05_DefaultValues][720][InstallationCategory]",Submission!$O:$O,Submission!$H:$N,""))</f>
        <v/>
      </c>
      <c r="D922" s="414"/>
      <c r="E922" s="414"/>
      <c r="F922" s="414"/>
      <c r="G922" s="364"/>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4" t="str">
        <f>_xlfn.CONCAT(_xlfn.XLOOKUP("[S05_DefaultValues][721][InstallationCategory]",Submission!$O:$O,Submission!$H:$N,""))</f>
        <v/>
      </c>
      <c r="D923" s="414"/>
      <c r="E923" s="414"/>
      <c r="F923" s="414"/>
      <c r="G923" s="364"/>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4" t="str">
        <f>_xlfn.CONCAT(_xlfn.XLOOKUP("[S05_DefaultValues][722][InstallationCategory]",Submission!$O:$O,Submission!$H:$N,""))</f>
        <v/>
      </c>
      <c r="D924" s="414"/>
      <c r="E924" s="414"/>
      <c r="F924" s="414"/>
      <c r="G924" s="364"/>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4" t="str">
        <f>_xlfn.CONCAT(_xlfn.XLOOKUP("[S05_DefaultValues][723][InstallationCategory]",Submission!$O:$O,Submission!$H:$N,""))</f>
        <v/>
      </c>
      <c r="D925" s="414"/>
      <c r="E925" s="414"/>
      <c r="F925" s="414"/>
      <c r="G925" s="364"/>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4" t="str">
        <f>_xlfn.CONCAT(_xlfn.XLOOKUP("[S05_DefaultValues][724][InstallationCategory]",Submission!$O:$O,Submission!$H:$N,""))</f>
        <v/>
      </c>
      <c r="D926" s="414"/>
      <c r="E926" s="414"/>
      <c r="F926" s="414"/>
      <c r="G926" s="364"/>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4" t="str">
        <f>_xlfn.CONCAT(_xlfn.XLOOKUP("[S05_DefaultValues][725][InstallationCategory]",Submission!$O:$O,Submission!$H:$N,""))</f>
        <v/>
      </c>
      <c r="D927" s="414"/>
      <c r="E927" s="414"/>
      <c r="F927" s="414"/>
      <c r="G927" s="364"/>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4" t="str">
        <f>_xlfn.CONCAT(_xlfn.XLOOKUP("[S05_DefaultValues][726][InstallationCategory]",Submission!$O:$O,Submission!$H:$N,""))</f>
        <v/>
      </c>
      <c r="D928" s="414"/>
      <c r="E928" s="414"/>
      <c r="F928" s="414"/>
      <c r="G928" s="364"/>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4" t="str">
        <f>_xlfn.CONCAT(_xlfn.XLOOKUP("[S05_DefaultValues][727][InstallationCategory]",Submission!$O:$O,Submission!$H:$N,""))</f>
        <v/>
      </c>
      <c r="D929" s="414"/>
      <c r="E929" s="414"/>
      <c r="F929" s="414"/>
      <c r="G929" s="364"/>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4" t="str">
        <f>_xlfn.CONCAT(_xlfn.XLOOKUP("[S05_DefaultValues][728][InstallationCategory]",Submission!$O:$O,Submission!$H:$N,""))</f>
        <v/>
      </c>
      <c r="D930" s="414"/>
      <c r="E930" s="414"/>
      <c r="F930" s="414"/>
      <c r="G930" s="364"/>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4" t="str">
        <f>_xlfn.CONCAT(_xlfn.XLOOKUP("[S05_DefaultValues][729][InstallationCategory]",Submission!$O:$O,Submission!$H:$N,""))</f>
        <v/>
      </c>
      <c r="D931" s="414"/>
      <c r="E931" s="414"/>
      <c r="F931" s="414"/>
      <c r="G931" s="364"/>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4" t="str">
        <f>_xlfn.CONCAT(_xlfn.XLOOKUP("[S05_DefaultValues][730][InstallationCategory]",Submission!$O:$O,Submission!$H:$N,""))</f>
        <v/>
      </c>
      <c r="D932" s="414"/>
      <c r="E932" s="414"/>
      <c r="F932" s="414"/>
      <c r="G932" s="364"/>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4" t="str">
        <f>_xlfn.CONCAT(_xlfn.XLOOKUP("[S05_DefaultValues][731][InstallationCategory]",Submission!$O:$O,Submission!$H:$N,""))</f>
        <v/>
      </c>
      <c r="D933" s="414"/>
      <c r="E933" s="414"/>
      <c r="F933" s="414"/>
      <c r="G933" s="364"/>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4" t="str">
        <f>_xlfn.CONCAT(_xlfn.XLOOKUP("[S05_DefaultValues][732][InstallationCategory]",Submission!$O:$O,Submission!$H:$N,""))</f>
        <v/>
      </c>
      <c r="D934" s="414"/>
      <c r="E934" s="414"/>
      <c r="F934" s="414"/>
      <c r="G934" s="364"/>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4" t="str">
        <f>_xlfn.CONCAT(_xlfn.XLOOKUP("[S05_DefaultValues][733][InstallationCategory]",Submission!$O:$O,Submission!$H:$N,""))</f>
        <v/>
      </c>
      <c r="D935" s="414"/>
      <c r="E935" s="414"/>
      <c r="F935" s="414"/>
      <c r="G935" s="364"/>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4" t="str">
        <f>_xlfn.CONCAT(_xlfn.XLOOKUP("[S05_DefaultValues][734][InstallationCategory]",Submission!$O:$O,Submission!$H:$N,""))</f>
        <v/>
      </c>
      <c r="D936" s="414"/>
      <c r="E936" s="414"/>
      <c r="F936" s="414"/>
      <c r="G936" s="364"/>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4" t="str">
        <f>_xlfn.CONCAT(_xlfn.XLOOKUP("[S05_DefaultValues][735][InstallationCategory]",Submission!$O:$O,Submission!$H:$N,""))</f>
        <v/>
      </c>
      <c r="D937" s="414"/>
      <c r="E937" s="414"/>
      <c r="F937" s="414"/>
      <c r="G937" s="364"/>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4" t="str">
        <f>_xlfn.CONCAT(_xlfn.XLOOKUP("[S05_DefaultValues][736][InstallationCategory]",Submission!$O:$O,Submission!$H:$N,""))</f>
        <v/>
      </c>
      <c r="D938" s="414"/>
      <c r="E938" s="414"/>
      <c r="F938" s="414"/>
      <c r="G938" s="364"/>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4" t="str">
        <f>_xlfn.CONCAT(_xlfn.XLOOKUP("[S05_DefaultValues][737][InstallationCategory]",Submission!$O:$O,Submission!$H:$N,""))</f>
        <v/>
      </c>
      <c r="D939" s="414"/>
      <c r="E939" s="414"/>
      <c r="F939" s="414"/>
      <c r="G939" s="364"/>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4" t="str">
        <f>_xlfn.CONCAT(_xlfn.XLOOKUP("[S05_DefaultValues][738][InstallationCategory]",Submission!$O:$O,Submission!$H:$N,""))</f>
        <v/>
      </c>
      <c r="D940" s="414"/>
      <c r="E940" s="414"/>
      <c r="F940" s="414"/>
      <c r="G940" s="364"/>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4" t="str">
        <f>_xlfn.CONCAT(_xlfn.XLOOKUP("[S05_DefaultValues][739][InstallationCategory]",Submission!$O:$O,Submission!$H:$N,""))</f>
        <v/>
      </c>
      <c r="D941" s="414"/>
      <c r="E941" s="414"/>
      <c r="F941" s="414"/>
      <c r="G941" s="364"/>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4" t="str">
        <f>_xlfn.CONCAT(_xlfn.XLOOKUP("[S05_DefaultValues][740][InstallationCategory]",Submission!$O:$O,Submission!$H:$N,""))</f>
        <v/>
      </c>
      <c r="D942" s="414"/>
      <c r="E942" s="414"/>
      <c r="F942" s="414"/>
      <c r="G942" s="364"/>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4" t="str">
        <f>_xlfn.CONCAT(_xlfn.XLOOKUP("[S05_DefaultValues][741][InstallationCategory]",Submission!$O:$O,Submission!$H:$N,""))</f>
        <v/>
      </c>
      <c r="D943" s="414"/>
      <c r="E943" s="414"/>
      <c r="F943" s="414"/>
      <c r="G943" s="364"/>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4" t="str">
        <f>_xlfn.CONCAT(_xlfn.XLOOKUP("[S05_DefaultValues][742][InstallationCategory]",Submission!$O:$O,Submission!$H:$N,""))</f>
        <v/>
      </c>
      <c r="D944" s="414"/>
      <c r="E944" s="414"/>
      <c r="F944" s="414"/>
      <c r="G944" s="364"/>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4" t="str">
        <f>_xlfn.CONCAT(_xlfn.XLOOKUP("[S05_DefaultValues][743][InstallationCategory]",Submission!$O:$O,Submission!$H:$N,""))</f>
        <v/>
      </c>
      <c r="D945" s="414"/>
      <c r="E945" s="414"/>
      <c r="F945" s="414"/>
      <c r="G945" s="364"/>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4" t="str">
        <f>_xlfn.CONCAT(_xlfn.XLOOKUP("[S05_DefaultValues][744][InstallationCategory]",Submission!$O:$O,Submission!$H:$N,""))</f>
        <v/>
      </c>
      <c r="D946" s="414"/>
      <c r="E946" s="414"/>
      <c r="F946" s="414"/>
      <c r="G946" s="364"/>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4" t="str">
        <f>_xlfn.CONCAT(_xlfn.XLOOKUP("[S05_DefaultValues][745][InstallationCategory]",Submission!$O:$O,Submission!$H:$N,""))</f>
        <v/>
      </c>
      <c r="D947" s="414"/>
      <c r="E947" s="414"/>
      <c r="F947" s="414"/>
      <c r="G947" s="364"/>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4" t="str">
        <f>_xlfn.CONCAT(_xlfn.XLOOKUP("[S05_DefaultValues][746][InstallationCategory]",Submission!$O:$O,Submission!$H:$N,""))</f>
        <v/>
      </c>
      <c r="D948" s="414"/>
      <c r="E948" s="414"/>
      <c r="F948" s="414"/>
      <c r="G948" s="364"/>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4" t="str">
        <f>_xlfn.CONCAT(_xlfn.XLOOKUP("[S05_DefaultValues][747][InstallationCategory]",Submission!$O:$O,Submission!$H:$N,""))</f>
        <v/>
      </c>
      <c r="D949" s="414"/>
      <c r="E949" s="414"/>
      <c r="F949" s="414"/>
      <c r="G949" s="364"/>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4" t="str">
        <f>_xlfn.CONCAT(_xlfn.XLOOKUP("[S05_DefaultValues][748][InstallationCategory]",Submission!$O:$O,Submission!$H:$N,""))</f>
        <v/>
      </c>
      <c r="D950" s="414"/>
      <c r="E950" s="414"/>
      <c r="F950" s="414"/>
      <c r="G950" s="364"/>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4" t="str">
        <f>_xlfn.CONCAT(_xlfn.XLOOKUP("[S05_DefaultValues][749][InstallationCategory]",Submission!$O:$O,Submission!$H:$N,""))</f>
        <v/>
      </c>
      <c r="D951" s="414"/>
      <c r="E951" s="414"/>
      <c r="F951" s="414"/>
      <c r="G951" s="364"/>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4" t="str">
        <f>_xlfn.CONCAT(_xlfn.XLOOKUP("[S05_DefaultValues][750][InstallationCategory]",Submission!$O:$O,Submission!$H:$N,""))</f>
        <v/>
      </c>
      <c r="D952" s="414"/>
      <c r="E952" s="414"/>
      <c r="F952" s="414"/>
      <c r="G952" s="364"/>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4" t="str">
        <f>_xlfn.CONCAT(_xlfn.XLOOKUP("[S05_DefaultValues][751][InstallationCategory]",Submission!$O:$O,Submission!$H:$N,""))</f>
        <v/>
      </c>
      <c r="D953" s="414"/>
      <c r="E953" s="414"/>
      <c r="F953" s="414"/>
      <c r="G953" s="364"/>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4" t="str">
        <f>_xlfn.CONCAT(_xlfn.XLOOKUP("[S05_DefaultValues][752][InstallationCategory]",Submission!$O:$O,Submission!$H:$N,""))</f>
        <v/>
      </c>
      <c r="D954" s="414"/>
      <c r="E954" s="414"/>
      <c r="F954" s="414"/>
      <c r="G954" s="364"/>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4" t="str">
        <f>_xlfn.CONCAT(_xlfn.XLOOKUP("[S05_DefaultValues][753][InstallationCategory]",Submission!$O:$O,Submission!$H:$N,""))</f>
        <v/>
      </c>
      <c r="D955" s="414"/>
      <c r="E955" s="414"/>
      <c r="F955" s="414"/>
      <c r="G955" s="364"/>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4" t="str">
        <f>_xlfn.CONCAT(_xlfn.XLOOKUP("[S05_DefaultValues][754][InstallationCategory]",Submission!$O:$O,Submission!$H:$N,""))</f>
        <v/>
      </c>
      <c r="D956" s="414"/>
      <c r="E956" s="414"/>
      <c r="F956" s="414"/>
      <c r="G956" s="364"/>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4" t="str">
        <f>_xlfn.CONCAT(_xlfn.XLOOKUP("[S05_DefaultValues][755][InstallationCategory]",Submission!$O:$O,Submission!$H:$N,""))</f>
        <v/>
      </c>
      <c r="D957" s="414"/>
      <c r="E957" s="414"/>
      <c r="F957" s="414"/>
      <c r="G957" s="364"/>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4" t="str">
        <f>_xlfn.CONCAT(_xlfn.XLOOKUP("[S05_DefaultValues][756][InstallationCategory]",Submission!$O:$O,Submission!$H:$N,""))</f>
        <v/>
      </c>
      <c r="D958" s="414"/>
      <c r="E958" s="414"/>
      <c r="F958" s="414"/>
      <c r="G958" s="364"/>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4" t="str">
        <f>_xlfn.CONCAT(_xlfn.XLOOKUP("[S05_DefaultValues][757][InstallationCategory]",Submission!$O:$O,Submission!$H:$N,""))</f>
        <v/>
      </c>
      <c r="D959" s="414"/>
      <c r="E959" s="414"/>
      <c r="F959" s="414"/>
      <c r="G959" s="364"/>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4" t="str">
        <f>_xlfn.CONCAT(_xlfn.XLOOKUP("[S05_DefaultValues][758][InstallationCategory]",Submission!$O:$O,Submission!$H:$N,""))</f>
        <v/>
      </c>
      <c r="D960" s="414"/>
      <c r="E960" s="414"/>
      <c r="F960" s="414"/>
      <c r="G960" s="364"/>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4" t="str">
        <f>_xlfn.CONCAT(_xlfn.XLOOKUP("[S05_DefaultValues][759][InstallationCategory]",Submission!$O:$O,Submission!$H:$N,""))</f>
        <v/>
      </c>
      <c r="D961" s="414"/>
      <c r="E961" s="414"/>
      <c r="F961" s="414"/>
      <c r="G961" s="364"/>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4" t="str">
        <f>_xlfn.CONCAT(_xlfn.XLOOKUP("[S05_DefaultValues][760][InstallationCategory]",Submission!$O:$O,Submission!$H:$N,""))</f>
        <v/>
      </c>
      <c r="D962" s="414"/>
      <c r="E962" s="414"/>
      <c r="F962" s="414"/>
      <c r="G962" s="364"/>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4" t="str">
        <f>_xlfn.CONCAT(_xlfn.XLOOKUP("[S05_DefaultValues][761][InstallationCategory]",Submission!$O:$O,Submission!$H:$N,""))</f>
        <v/>
      </c>
      <c r="D963" s="414"/>
      <c r="E963" s="414"/>
      <c r="F963" s="414"/>
      <c r="G963" s="364"/>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4" t="str">
        <f>_xlfn.CONCAT(_xlfn.XLOOKUP("[S05_DefaultValues][762][InstallationCategory]",Submission!$O:$O,Submission!$H:$N,""))</f>
        <v/>
      </c>
      <c r="D964" s="414"/>
      <c r="E964" s="414"/>
      <c r="F964" s="414"/>
      <c r="G964" s="364"/>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4" t="str">
        <f>_xlfn.CONCAT(_xlfn.XLOOKUP("[S05_DefaultValues][763][InstallationCategory]",Submission!$O:$O,Submission!$H:$N,""))</f>
        <v/>
      </c>
      <c r="D965" s="414"/>
      <c r="E965" s="414"/>
      <c r="F965" s="414"/>
      <c r="G965" s="364"/>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4" t="str">
        <f>_xlfn.CONCAT(_xlfn.XLOOKUP("[S05_DefaultValues][764][InstallationCategory]",Submission!$O:$O,Submission!$H:$N,""))</f>
        <v/>
      </c>
      <c r="D966" s="414"/>
      <c r="E966" s="414"/>
      <c r="F966" s="414"/>
      <c r="G966" s="364"/>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4" t="str">
        <f>_xlfn.CONCAT(_xlfn.XLOOKUP("[S05_DefaultValues][765][InstallationCategory]",Submission!$O:$O,Submission!$H:$N,""))</f>
        <v/>
      </c>
      <c r="D967" s="414"/>
      <c r="E967" s="414"/>
      <c r="F967" s="414"/>
      <c r="G967" s="364"/>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4" t="str">
        <f>_xlfn.CONCAT(_xlfn.XLOOKUP("[S05_DefaultValues][766][InstallationCategory]",Submission!$O:$O,Submission!$H:$N,""))</f>
        <v/>
      </c>
      <c r="D968" s="414"/>
      <c r="E968" s="414"/>
      <c r="F968" s="414"/>
      <c r="G968" s="364"/>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4" t="str">
        <f>_xlfn.CONCAT(_xlfn.XLOOKUP("[S05_DefaultValues][767][InstallationCategory]",Submission!$O:$O,Submission!$H:$N,""))</f>
        <v/>
      </c>
      <c r="D969" s="414"/>
      <c r="E969" s="414"/>
      <c r="F969" s="414"/>
      <c r="G969" s="364"/>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4" t="str">
        <f>_xlfn.CONCAT(_xlfn.XLOOKUP("[S05_DefaultValues][768][InstallationCategory]",Submission!$O:$O,Submission!$H:$N,""))</f>
        <v/>
      </c>
      <c r="D970" s="414"/>
      <c r="E970" s="414"/>
      <c r="F970" s="414"/>
      <c r="G970" s="364"/>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4" t="str">
        <f>_xlfn.CONCAT(_xlfn.XLOOKUP("[S05_DefaultValues][769][InstallationCategory]",Submission!$O:$O,Submission!$H:$N,""))</f>
        <v/>
      </c>
      <c r="D971" s="414"/>
      <c r="E971" s="414"/>
      <c r="F971" s="414"/>
      <c r="G971" s="364"/>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4" t="str">
        <f>_xlfn.CONCAT(_xlfn.XLOOKUP("[S05_DefaultValues][770][InstallationCategory]",Submission!$O:$O,Submission!$H:$N,""))</f>
        <v/>
      </c>
      <c r="D972" s="414"/>
      <c r="E972" s="414"/>
      <c r="F972" s="414"/>
      <c r="G972" s="364"/>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4" t="str">
        <f>_xlfn.CONCAT(_xlfn.XLOOKUP("[S05_DefaultValues][771][InstallationCategory]",Submission!$O:$O,Submission!$H:$N,""))</f>
        <v/>
      </c>
      <c r="D973" s="414"/>
      <c r="E973" s="414"/>
      <c r="F973" s="414"/>
      <c r="G973" s="364"/>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4" t="str">
        <f>_xlfn.CONCAT(_xlfn.XLOOKUP("[S05_DefaultValues][772][InstallationCategory]",Submission!$O:$O,Submission!$H:$N,""))</f>
        <v/>
      </c>
      <c r="D974" s="414"/>
      <c r="E974" s="414"/>
      <c r="F974" s="414"/>
      <c r="G974" s="364"/>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4" t="str">
        <f>_xlfn.CONCAT(_xlfn.XLOOKUP("[S05_DefaultValues][773][InstallationCategory]",Submission!$O:$O,Submission!$H:$N,""))</f>
        <v/>
      </c>
      <c r="D975" s="414"/>
      <c r="E975" s="414"/>
      <c r="F975" s="414"/>
      <c r="G975" s="364"/>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4" t="str">
        <f>_xlfn.CONCAT(_xlfn.XLOOKUP("[S05_DefaultValues][774][InstallationCategory]",Submission!$O:$O,Submission!$H:$N,""))</f>
        <v/>
      </c>
      <c r="D976" s="414"/>
      <c r="E976" s="414"/>
      <c r="F976" s="414"/>
      <c r="G976" s="364"/>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4" t="str">
        <f>_xlfn.CONCAT(_xlfn.XLOOKUP("[S05_DefaultValues][775][InstallationCategory]",Submission!$O:$O,Submission!$H:$N,""))</f>
        <v/>
      </c>
      <c r="D977" s="414"/>
      <c r="E977" s="414"/>
      <c r="F977" s="414"/>
      <c r="G977" s="364"/>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4" t="str">
        <f>_xlfn.CONCAT(_xlfn.XLOOKUP("[S05_DefaultValues][776][InstallationCategory]",Submission!$O:$O,Submission!$H:$N,""))</f>
        <v/>
      </c>
      <c r="D978" s="414"/>
      <c r="E978" s="414"/>
      <c r="F978" s="414"/>
      <c r="G978" s="364"/>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4" t="str">
        <f>_xlfn.CONCAT(_xlfn.XLOOKUP("[S05_DefaultValues][777][InstallationCategory]",Submission!$O:$O,Submission!$H:$N,""))</f>
        <v/>
      </c>
      <c r="D979" s="414"/>
      <c r="E979" s="414"/>
      <c r="F979" s="414"/>
      <c r="G979" s="364"/>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4" t="str">
        <f>_xlfn.CONCAT(_xlfn.XLOOKUP("[S05_DefaultValues][778][InstallationCategory]",Submission!$O:$O,Submission!$H:$N,""))</f>
        <v/>
      </c>
      <c r="D980" s="414"/>
      <c r="E980" s="414"/>
      <c r="F980" s="414"/>
      <c r="G980" s="364"/>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4" t="str">
        <f>_xlfn.CONCAT(_xlfn.XLOOKUP("[S05_DefaultValues][779][InstallationCategory]",Submission!$O:$O,Submission!$H:$N,""))</f>
        <v/>
      </c>
      <c r="D981" s="414"/>
      <c r="E981" s="414"/>
      <c r="F981" s="414"/>
      <c r="G981" s="364"/>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4" t="str">
        <f>_xlfn.CONCAT(_xlfn.XLOOKUP("[S05_DefaultValues][780][InstallationCategory]",Submission!$O:$O,Submission!$H:$N,""))</f>
        <v/>
      </c>
      <c r="D982" s="414"/>
      <c r="E982" s="414"/>
      <c r="F982" s="414"/>
      <c r="G982" s="364"/>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4" t="str">
        <f>_xlfn.CONCAT(_xlfn.XLOOKUP("[S05_DefaultValues][781][InstallationCategory]",Submission!$O:$O,Submission!$H:$N,""))</f>
        <v/>
      </c>
      <c r="D983" s="414"/>
      <c r="E983" s="414"/>
      <c r="F983" s="414"/>
      <c r="G983" s="364"/>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4" t="str">
        <f>_xlfn.CONCAT(_xlfn.XLOOKUP("[S05_DefaultValues][782][InstallationCategory]",Submission!$O:$O,Submission!$H:$N,""))</f>
        <v/>
      </c>
      <c r="D984" s="414"/>
      <c r="E984" s="414"/>
      <c r="F984" s="414"/>
      <c r="G984" s="364"/>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4" t="str">
        <f>_xlfn.CONCAT(_xlfn.XLOOKUP("[S05_DefaultValues][783][InstallationCategory]",Submission!$O:$O,Submission!$H:$N,""))</f>
        <v/>
      </c>
      <c r="D985" s="414"/>
      <c r="E985" s="414"/>
      <c r="F985" s="414"/>
      <c r="G985" s="364"/>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4" t="str">
        <f>_xlfn.CONCAT(_xlfn.XLOOKUP("[S05_DefaultValues][784][InstallationCategory]",Submission!$O:$O,Submission!$H:$N,""))</f>
        <v/>
      </c>
      <c r="D986" s="414"/>
      <c r="E986" s="414"/>
      <c r="F986" s="414"/>
      <c r="G986" s="364"/>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4" t="str">
        <f>_xlfn.CONCAT(_xlfn.XLOOKUP("[S05_DefaultValues][785][InstallationCategory]",Submission!$O:$O,Submission!$H:$N,""))</f>
        <v/>
      </c>
      <c r="D987" s="414"/>
      <c r="E987" s="414"/>
      <c r="F987" s="414"/>
      <c r="G987" s="364"/>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4" t="str">
        <f>_xlfn.CONCAT(_xlfn.XLOOKUP("[S05_DefaultValues][786][InstallationCategory]",Submission!$O:$O,Submission!$H:$N,""))</f>
        <v/>
      </c>
      <c r="D988" s="414"/>
      <c r="E988" s="414"/>
      <c r="F988" s="414"/>
      <c r="G988" s="364"/>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4" t="str">
        <f>_xlfn.CONCAT(_xlfn.XLOOKUP("[S05_DefaultValues][787][InstallationCategory]",Submission!$O:$O,Submission!$H:$N,""))</f>
        <v/>
      </c>
      <c r="D989" s="414"/>
      <c r="E989" s="414"/>
      <c r="F989" s="414"/>
      <c r="G989" s="364"/>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4" t="str">
        <f>_xlfn.CONCAT(_xlfn.XLOOKUP("[S05_DefaultValues][788][InstallationCategory]",Submission!$O:$O,Submission!$H:$N,""))</f>
        <v/>
      </c>
      <c r="D990" s="414"/>
      <c r="E990" s="414"/>
      <c r="F990" s="414"/>
      <c r="G990" s="364"/>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4" t="str">
        <f>_xlfn.CONCAT(_xlfn.XLOOKUP("[S05_DefaultValues][789][InstallationCategory]",Submission!$O:$O,Submission!$H:$N,""))</f>
        <v/>
      </c>
      <c r="D991" s="414"/>
      <c r="E991" s="414"/>
      <c r="F991" s="414"/>
      <c r="G991" s="364"/>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4" t="str">
        <f>_xlfn.CONCAT(_xlfn.XLOOKUP("[S05_DefaultValues][790][InstallationCategory]",Submission!$O:$O,Submission!$H:$N,""))</f>
        <v/>
      </c>
      <c r="D992" s="414"/>
      <c r="E992" s="414"/>
      <c r="F992" s="414"/>
      <c r="G992" s="364"/>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4" t="str">
        <f>_xlfn.CONCAT(_xlfn.XLOOKUP("[S05_DefaultValues][791][InstallationCategory]",Submission!$O:$O,Submission!$H:$N,""))</f>
        <v/>
      </c>
      <c r="D993" s="414"/>
      <c r="E993" s="414"/>
      <c r="F993" s="414"/>
      <c r="G993" s="364"/>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4" t="str">
        <f>_xlfn.CONCAT(_xlfn.XLOOKUP("[S05_DefaultValues][792][InstallationCategory]",Submission!$O:$O,Submission!$H:$N,""))</f>
        <v/>
      </c>
      <c r="D994" s="414"/>
      <c r="E994" s="414"/>
      <c r="F994" s="414"/>
      <c r="G994" s="364"/>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4" t="str">
        <f>_xlfn.CONCAT(_xlfn.XLOOKUP("[S05_DefaultValues][793][InstallationCategory]",Submission!$O:$O,Submission!$H:$N,""))</f>
        <v/>
      </c>
      <c r="D995" s="414"/>
      <c r="E995" s="414"/>
      <c r="F995" s="414"/>
      <c r="G995" s="364"/>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4" t="str">
        <f>_xlfn.CONCAT(_xlfn.XLOOKUP("[S05_DefaultValues][794][InstallationCategory]",Submission!$O:$O,Submission!$H:$N,""))</f>
        <v/>
      </c>
      <c r="D996" s="414"/>
      <c r="E996" s="414"/>
      <c r="F996" s="414"/>
      <c r="G996" s="364"/>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4" t="str">
        <f>_xlfn.CONCAT(_xlfn.XLOOKUP("[S05_DefaultValues][795][InstallationCategory]",Submission!$O:$O,Submission!$H:$N,""))</f>
        <v/>
      </c>
      <c r="D997" s="414"/>
      <c r="E997" s="414"/>
      <c r="F997" s="414"/>
      <c r="G997" s="364"/>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4" t="str">
        <f>_xlfn.CONCAT(_xlfn.XLOOKUP("[S05_DefaultValues][796][InstallationCategory]",Submission!$O:$O,Submission!$H:$N,""))</f>
        <v/>
      </c>
      <c r="D998" s="414"/>
      <c r="E998" s="414"/>
      <c r="F998" s="414"/>
      <c r="G998" s="364"/>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4" t="str">
        <f>_xlfn.CONCAT(_xlfn.XLOOKUP("[S05_DefaultValues][797][InstallationCategory]",Submission!$O:$O,Submission!$H:$N,""))</f>
        <v/>
      </c>
      <c r="D999" s="414"/>
      <c r="E999" s="414"/>
      <c r="F999" s="414"/>
      <c r="G999" s="364"/>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4" t="str">
        <f>_xlfn.CONCAT(_xlfn.XLOOKUP("[S05_DefaultValues][798][InstallationCategory]",Submission!$O:$O,Submission!$H:$N,""))</f>
        <v/>
      </c>
      <c r="D1000" s="414"/>
      <c r="E1000" s="414"/>
      <c r="F1000" s="414"/>
      <c r="G1000" s="364"/>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4" t="str">
        <f>_xlfn.CONCAT(_xlfn.XLOOKUP("[S05_DefaultValues][799][InstallationCategory]",Submission!$O:$O,Submission!$H:$N,""))</f>
        <v/>
      </c>
      <c r="D1001" s="414"/>
      <c r="E1001" s="414"/>
      <c r="F1001" s="414"/>
      <c r="G1001" s="364"/>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4" t="str">
        <f>_xlfn.CONCAT(_xlfn.XLOOKUP("[S05_DefaultValues][800][InstallationCategory]",Submission!$O:$O,Submission!$H:$N,""))</f>
        <v/>
      </c>
      <c r="D1002" s="414"/>
      <c r="E1002" s="414"/>
      <c r="F1002" s="414"/>
      <c r="G1002" s="364"/>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58" t="s">
        <v>862</v>
      </c>
      <c r="D1004" s="358"/>
      <c r="E1004" s="358"/>
      <c r="F1004" s="358"/>
      <c r="G1004" s="358"/>
      <c r="H1004" s="358"/>
      <c r="I1004" s="358"/>
    </row>
    <row r="1005" spans="1:9" ht="15.9" customHeight="1" x14ac:dyDescent="0.3">
      <c r="B1005" s="34"/>
      <c r="C1005" s="33"/>
      <c r="D1005" s="31"/>
      <c r="E1005" s="33"/>
      <c r="F1005" s="33"/>
      <c r="G1005" s="35"/>
      <c r="H1005" s="35"/>
      <c r="I1005" s="35"/>
    </row>
    <row r="1006" spans="1:9" ht="34.950000000000003" customHeight="1" x14ac:dyDescent="0.3">
      <c r="A1006" s="12" t="s">
        <v>241</v>
      </c>
      <c r="B1006" s="338" t="s">
        <v>863</v>
      </c>
      <c r="C1006" s="308"/>
      <c r="D1006" s="308"/>
      <c r="E1006" s="308"/>
      <c r="F1006" s="308"/>
      <c r="G1006" s="308"/>
      <c r="H1006" s="308"/>
      <c r="I1006" s="308"/>
    </row>
    <row r="1007" spans="1:9" ht="69" customHeight="1" x14ac:dyDescent="0.3">
      <c r="B1007" s="34"/>
      <c r="C1007" s="314" t="s">
        <v>864</v>
      </c>
      <c r="D1007" s="316"/>
      <c r="E1007" s="42" t="s">
        <v>865</v>
      </c>
      <c r="F1007" s="42" t="s">
        <v>866</v>
      </c>
      <c r="G1007" s="314" t="s">
        <v>867</v>
      </c>
      <c r="H1007" s="315"/>
      <c r="I1007" s="316"/>
    </row>
    <row r="1008" spans="1:9" ht="15.9" customHeight="1" x14ac:dyDescent="0.3">
      <c r="A1008" s="13"/>
      <c r="B1008" s="34"/>
      <c r="C1008" s="258" t="str">
        <f>_xlfn.CONCAT(_xlfn.XLOOKUP("[S05_InstallationDifferentSamplingFrequency][1][SamplingFuelMaterial]",Submission!$O:$O,Submission!$H:$N,""))</f>
        <v>Waste tyres - biomass fraction - Type I default value</v>
      </c>
      <c r="D1008" s="260"/>
      <c r="E1008" s="105" t="str">
        <f>_xlfn.CONCAT(_xlfn.XLOOKUP("[S05_InstallationDifferentSamplingFrequency][1][CountInstallationsDiffFrequency]",Submission!$O:$O,Submission!$H:$N,""))</f>
        <v>1</v>
      </c>
      <c r="F1008" s="105" t="str">
        <f>_xlfn.CONCAT(_xlfn.XLOOKUP("[S05_InstallationDifferentSamplingFrequency][1][MajorSourceStreams]",Submission!$O:$O,Submission!$H:$N,""))</f>
        <v>1</v>
      </c>
      <c r="G1008" s="47" t="str">
        <f>_xlfn.CONCAT(_xlfn.XLOOKUP("[S05_InstallationDifferentSamplingFrequency][1][SamplingPlanDocumented]",Submission!$O:$O,Submission!$H:$N,""))</f>
        <v>Yes</v>
      </c>
      <c r="H1008" s="243" t="str">
        <f>_xlfn.CONCAT(_xlfn.XLOOKUP("[S05_InstallationDifferentSamplingFrequency][1][SamplingPlanNotDocumentedReason]",Submission!$O:$O,Submission!$H:$N,""))</f>
        <v>methodical material published by the cement industry; reason: technical unfeasibility of making analysis</v>
      </c>
      <c r="I1008" s="245"/>
    </row>
    <row r="1009" spans="1:9" ht="15.9" customHeight="1" x14ac:dyDescent="0.3">
      <c r="A1009" s="13"/>
      <c r="B1009" s="34"/>
      <c r="C1009" s="258" t="str">
        <f>_xlfn.CONCAT(_xlfn.XLOOKUP("[S05_InstallationDifferentSamplingFrequency][2][SamplingFuelMaterial]",Submission!$O:$O,Submission!$H:$N,""))</f>
        <v>Waste tyres - net calorific value - Type I default value</v>
      </c>
      <c r="D1009" s="260"/>
      <c r="E1009" s="105" t="str">
        <f>_xlfn.CONCAT(_xlfn.XLOOKUP("[S05_InstallationDifferentSamplingFrequency][2][CountInstallationsDiffFrequency]",Submission!$O:$O,Submission!$H:$N,""))</f>
        <v>1</v>
      </c>
      <c r="F1009" s="105" t="str">
        <f>_xlfn.CONCAT(_xlfn.XLOOKUP("[S05_InstallationDifferentSamplingFrequency][2][MajorSourceStreams]",Submission!$O:$O,Submission!$H:$N,""))</f>
        <v>1</v>
      </c>
      <c r="G1009" s="47" t="str">
        <f>_xlfn.CONCAT(_xlfn.XLOOKUP("[S05_InstallationDifferentSamplingFrequency][2][SamplingPlanDocumented]",Submission!$O:$O,Submission!$H:$N,""))</f>
        <v>Yes</v>
      </c>
      <c r="H1009" s="243" t="str">
        <f>_xlfn.CONCAT(_xlfn.XLOOKUP("[S05_InstallationDifferentSamplingFrequency][2][SamplingPlanNotDocumentedReason]",Submission!$O:$O,Submission!$H:$N,""))</f>
        <v>methodical material published by the cement industry; reason: technical unfeasibility of making analysis</v>
      </c>
      <c r="I1009" s="245"/>
    </row>
    <row r="1010" spans="1:9" ht="15.9" customHeight="1" x14ac:dyDescent="0.3">
      <c r="A1010" s="13"/>
      <c r="B1010" s="34"/>
      <c r="C1010" s="258" t="str">
        <f>_xlfn.CONCAT(_xlfn.XLOOKUP("[S05_InstallationDifferentSamplingFrequency][3][SamplingFuelMaterial]",Submission!$O:$O,Submission!$H:$N,""))</f>
        <v>Lignite - net calorific value - Type I default value</v>
      </c>
      <c r="D1010" s="260"/>
      <c r="E1010" s="105" t="str">
        <f>_xlfn.CONCAT(_xlfn.XLOOKUP("[S05_InstallationDifferentSamplingFrequency][3][CountInstallationsDiffFrequency]",Submission!$O:$O,Submission!$H:$N,""))</f>
        <v>1</v>
      </c>
      <c r="F1010" s="105" t="str">
        <f>_xlfn.CONCAT(_xlfn.XLOOKUP("[S05_InstallationDifferentSamplingFrequency][3][MajorSourceStreams]",Submission!$O:$O,Submission!$H:$N,""))</f>
        <v>1</v>
      </c>
      <c r="G1010" s="47" t="str">
        <f>_xlfn.CONCAT(_xlfn.XLOOKUP("[S05_InstallationDifferentSamplingFrequency][3][SamplingPlanDocumented]",Submission!$O:$O,Submission!$H:$N,""))</f>
        <v>Yes</v>
      </c>
      <c r="H1010" s="243" t="str">
        <f>_xlfn.CONCAT(_xlfn.XLOOKUP("[S05_InstallationDifferentSamplingFrequency][3][SamplingPlanNotDocumentedReason]",Submission!$O:$O,Submission!$H:$N,""))</f>
        <v>supplier's lignite cataloque (installation with low emissions)</v>
      </c>
      <c r="I1010" s="245"/>
    </row>
    <row r="1011" spans="1:9" ht="15.9" customHeight="1" x14ac:dyDescent="0.3">
      <c r="A1011" s="13"/>
      <c r="B1011" s="34"/>
      <c r="C1011" s="258" t="str">
        <f>_xlfn.CONCAT(_xlfn.XLOOKUP("[S05_InstallationDifferentSamplingFrequency][4][SamplingFuelMaterial]",Submission!$O:$O,Submission!$H:$N,""))</f>
        <v/>
      </c>
      <c r="D1011" s="260"/>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3" t="str">
        <f>_xlfn.CONCAT(_xlfn.XLOOKUP("[S05_InstallationDifferentSamplingFrequency][4][SamplingPlanNotDocumentedReason]",Submission!$O:$O,Submission!$H:$N,""))</f>
        <v/>
      </c>
      <c r="I1011" s="245"/>
    </row>
    <row r="1012" spans="1:9" ht="15.9" customHeight="1" x14ac:dyDescent="0.3">
      <c r="A1012" s="13"/>
      <c r="B1012" s="34"/>
      <c r="C1012" s="258" t="str">
        <f>_xlfn.CONCAT(_xlfn.XLOOKUP("[S05_InstallationDifferentSamplingFrequency][5][SamplingFuelMaterial]",Submission!$O:$O,Submission!$H:$N,""))</f>
        <v/>
      </c>
      <c r="D1012" s="260"/>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3" t="str">
        <f>_xlfn.CONCAT(_xlfn.XLOOKUP("[S05_InstallationDifferentSamplingFrequency][5][SamplingPlanNotDocumentedReason]",Submission!$O:$O,Submission!$H:$N,""))</f>
        <v/>
      </c>
      <c r="I1012" s="245"/>
    </row>
    <row r="1013" spans="1:9" ht="15.9" hidden="1" customHeight="1" outlineLevel="1" x14ac:dyDescent="0.3">
      <c r="A1013" s="13"/>
      <c r="B1013" s="34"/>
      <c r="C1013" s="258" t="str">
        <f>_xlfn.CONCAT(_xlfn.XLOOKUP("[S05_InstallationDifferentSamplingFrequency][6][SamplingFuelMaterial]",Submission!$O:$O,Submission!$H:$N,""))</f>
        <v/>
      </c>
      <c r="D1013" s="260"/>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3" t="str">
        <f>_xlfn.CONCAT(_xlfn.XLOOKUP("[S05_InstallationDifferentSamplingFrequency][6][SamplingPlanNotDocumentedReason]",Submission!$O:$O,Submission!$H:$N,""))</f>
        <v/>
      </c>
      <c r="I1013" s="245"/>
    </row>
    <row r="1014" spans="1:9" ht="15.9" hidden="1" customHeight="1" outlineLevel="1" x14ac:dyDescent="0.3">
      <c r="A1014" s="13"/>
      <c r="B1014" s="34"/>
      <c r="C1014" s="258" t="str">
        <f>_xlfn.CONCAT(_xlfn.XLOOKUP("[S05_InstallationDifferentSamplingFrequency][7][SamplingFuelMaterial]",Submission!$O:$O,Submission!$H:$N,""))</f>
        <v/>
      </c>
      <c r="D1014" s="260"/>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3" t="str">
        <f>_xlfn.CONCAT(_xlfn.XLOOKUP("[S05_InstallationDifferentSamplingFrequency][7][SamplingPlanNotDocumentedReason]",Submission!$O:$O,Submission!$H:$N,""))</f>
        <v/>
      </c>
      <c r="I1014" s="245"/>
    </row>
    <row r="1015" spans="1:9" ht="15.9" hidden="1" customHeight="1" outlineLevel="1" x14ac:dyDescent="0.3">
      <c r="A1015" s="13"/>
      <c r="B1015" s="34"/>
      <c r="C1015" s="258" t="str">
        <f>_xlfn.CONCAT(_xlfn.XLOOKUP("[S05_InstallationDifferentSamplingFrequency][8][SamplingFuelMaterial]",Submission!$O:$O,Submission!$H:$N,""))</f>
        <v/>
      </c>
      <c r="D1015" s="260"/>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3" t="str">
        <f>_xlfn.CONCAT(_xlfn.XLOOKUP("[S05_InstallationDifferentSamplingFrequency][8][SamplingPlanNotDocumentedReason]",Submission!$O:$O,Submission!$H:$N,""))</f>
        <v/>
      </c>
      <c r="I1015" s="245"/>
    </row>
    <row r="1016" spans="1:9" ht="15.9" hidden="1" customHeight="1" outlineLevel="1" x14ac:dyDescent="0.3">
      <c r="A1016" s="13"/>
      <c r="B1016" s="34"/>
      <c r="C1016" s="258" t="str">
        <f>_xlfn.CONCAT(_xlfn.XLOOKUP("[S05_InstallationDifferentSamplingFrequency][9][SamplingFuelMaterial]",Submission!$O:$O,Submission!$H:$N,""))</f>
        <v/>
      </c>
      <c r="D1016" s="260"/>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3" t="str">
        <f>_xlfn.CONCAT(_xlfn.XLOOKUP("[S05_InstallationDifferentSamplingFrequency][9][SamplingPlanNotDocumentedReason]",Submission!$O:$O,Submission!$H:$N,""))</f>
        <v/>
      </c>
      <c r="I1016" s="245"/>
    </row>
    <row r="1017" spans="1:9" ht="15.9" hidden="1" customHeight="1" outlineLevel="1" x14ac:dyDescent="0.3">
      <c r="A1017" s="13"/>
      <c r="B1017" s="34"/>
      <c r="C1017" s="258" t="str">
        <f>_xlfn.CONCAT(_xlfn.XLOOKUP("[S05_InstallationDifferentSamplingFrequency][10][SamplingFuelMaterial]",Submission!$O:$O,Submission!$H:$N,""))</f>
        <v/>
      </c>
      <c r="D1017" s="260"/>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3" t="str">
        <f>_xlfn.CONCAT(_xlfn.XLOOKUP("[S05_InstallationDifferentSamplingFrequency][10][SamplingPlanNotDocumentedReason]",Submission!$O:$O,Submission!$H:$N,""))</f>
        <v/>
      </c>
      <c r="I1017" s="245"/>
    </row>
    <row r="1018" spans="1:9" ht="15.9" hidden="1" customHeight="1" outlineLevel="1" x14ac:dyDescent="0.3">
      <c r="A1018" s="13"/>
      <c r="B1018" s="34"/>
      <c r="C1018" s="258" t="str">
        <f>_xlfn.CONCAT(_xlfn.XLOOKUP("[S05_InstallationDifferentSamplingFrequency][11][SamplingFuelMaterial]",Submission!$O:$O,Submission!$H:$N,""))</f>
        <v/>
      </c>
      <c r="D1018" s="260"/>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58" t="str">
        <f>_xlfn.CONCAT(_xlfn.XLOOKUP("[S05_InstallationDifferentSamplingFrequency][12][SamplingFuelMaterial]",Submission!$O:$O,Submission!$H:$N,""))</f>
        <v/>
      </c>
      <c r="D1019" s="260"/>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58" t="str">
        <f>_xlfn.CONCAT(_xlfn.XLOOKUP("[S05_InstallationDifferentSamplingFrequency][13][SamplingFuelMaterial]",Submission!$O:$O,Submission!$H:$N,""))</f>
        <v/>
      </c>
      <c r="D1020" s="260"/>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58" t="str">
        <f>_xlfn.CONCAT(_xlfn.XLOOKUP("[S05_InstallationDifferentSamplingFrequency][14][SamplingFuelMaterial]",Submission!$O:$O,Submission!$H:$N,""))</f>
        <v/>
      </c>
      <c r="D1021" s="260"/>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58" t="str">
        <f>_xlfn.CONCAT(_xlfn.XLOOKUP("[S05_InstallationDifferentSamplingFrequency][15][SamplingFuelMaterial]",Submission!$O:$O,Submission!$H:$N,""))</f>
        <v/>
      </c>
      <c r="D1022" s="260"/>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58" t="str">
        <f>_xlfn.CONCAT(_xlfn.XLOOKUP("[S05_InstallationDifferentSamplingFrequency][16][SamplingFuelMaterial]",Submission!$O:$O,Submission!$H:$N,""))</f>
        <v/>
      </c>
      <c r="D1023" s="260"/>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58" t="str">
        <f>_xlfn.CONCAT(_xlfn.XLOOKUP("[S05_InstallationDifferentSamplingFrequency][17][SamplingFuelMaterial]",Submission!$O:$O,Submission!$H:$N,""))</f>
        <v/>
      </c>
      <c r="D1024" s="260"/>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58" t="str">
        <f>_xlfn.CONCAT(_xlfn.XLOOKUP("[S05_InstallationDifferentSamplingFrequency][18][SamplingFuelMaterial]",Submission!$O:$O,Submission!$H:$N,""))</f>
        <v/>
      </c>
      <c r="D1025" s="260"/>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58" t="str">
        <f>_xlfn.CONCAT(_xlfn.XLOOKUP("[S05_InstallationDifferentSamplingFrequency][19][SamplingFuelMaterial]",Submission!$O:$O,Submission!$H:$N,""))</f>
        <v/>
      </c>
      <c r="D1026" s="260"/>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58" t="str">
        <f>_xlfn.CONCAT(_xlfn.XLOOKUP("[S05_InstallationDifferentSamplingFrequency][20][SamplingFuelMaterial]",Submission!$O:$O,Submission!$H:$N,""))</f>
        <v/>
      </c>
      <c r="D1027" s="260"/>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58" t="str">
        <f>_xlfn.CONCAT(_xlfn.XLOOKUP("[S05_InstallationDifferentSamplingFrequency][21][SamplingFuelMaterial]",Submission!$O:$O,Submission!$H:$N,""))</f>
        <v/>
      </c>
      <c r="D1028" s="260"/>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58" t="str">
        <f>_xlfn.CONCAT(_xlfn.XLOOKUP("[S05_InstallationDifferentSamplingFrequency][22][SamplingFuelMaterial]",Submission!$O:$O,Submission!$H:$N,""))</f>
        <v/>
      </c>
      <c r="D1029" s="260"/>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58" t="str">
        <f>_xlfn.CONCAT(_xlfn.XLOOKUP("[S05_InstallationDifferentSamplingFrequency][23][SamplingFuelMaterial]",Submission!$O:$O,Submission!$H:$N,""))</f>
        <v/>
      </c>
      <c r="D1030" s="260"/>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58" t="str">
        <f>_xlfn.CONCAT(_xlfn.XLOOKUP("[S05_InstallationDifferentSamplingFrequency][24][SamplingFuelMaterial]",Submission!$O:$O,Submission!$H:$N,""))</f>
        <v/>
      </c>
      <c r="D1031" s="260"/>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58" t="str">
        <f>_xlfn.CONCAT(_xlfn.XLOOKUP("[S05_InstallationDifferentSamplingFrequency][25][SamplingFuelMaterial]",Submission!$O:$O,Submission!$H:$N,""))</f>
        <v/>
      </c>
      <c r="D1032" s="260"/>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38" t="s">
        <v>868</v>
      </c>
      <c r="C1035" s="308"/>
      <c r="D1035" s="308"/>
      <c r="E1035" s="308"/>
      <c r="F1035" s="308"/>
      <c r="G1035" s="308"/>
      <c r="H1035" s="308"/>
      <c r="I1035" s="308"/>
    </row>
    <row r="1036" spans="1:9" ht="45" customHeight="1" x14ac:dyDescent="0.3">
      <c r="B1036" s="34"/>
      <c r="C1036" s="46" t="s">
        <v>869</v>
      </c>
      <c r="D1036" s="46" t="s">
        <v>870</v>
      </c>
      <c r="E1036" s="46" t="s">
        <v>871</v>
      </c>
      <c r="F1036" s="46" t="s">
        <v>872</v>
      </c>
      <c r="G1036" s="46" t="s">
        <v>873</v>
      </c>
      <c r="H1036" s="317" t="s">
        <v>874</v>
      </c>
      <c r="I1036" s="318"/>
    </row>
    <row r="1037" spans="1:9" ht="24.6" customHeight="1" x14ac:dyDescent="0.3">
      <c r="B1037" s="34"/>
      <c r="C1037" s="72" t="str">
        <f>_xlfn.CONCAT(_xlfn.XLOOKUP("[S05_CategoryCHighestTierNotApplied][1][InstallationID]",Submission!$O:$O,Submission!$H:$N,""))</f>
        <v>CZ-117</v>
      </c>
      <c r="D1037" s="72" t="str">
        <f>_xlfn.CONCAT(_xlfn.XLOOKUP("[S05_CategoryCHighestTierNotApplied][1][SourceStreamAffected]",Submission!$O:$O,Submission!$H:$N,""))</f>
        <v>n.a.</v>
      </c>
      <c r="E1037" s="72" t="str">
        <f>_xlfn.CONCAT(_xlfn.XLOOKUP("[S05_CategoryCHighestTierNotApplied][1][EmissionSourceAffected]",Submission!$O:$O,Submission!$H:$N,""))</f>
        <v>7 major emission sources</v>
      </c>
      <c r="F1037" s="72" t="str">
        <f>_xlfn.CONCAT(_xlfn.XLOOKUP("[S05_CategoryCHighestTierNotApplied][1][MonitoringParameterAffected]",Submission!$O:$O,Submission!$H:$N,""))</f>
        <v>Annual average hourly emissions in kg/h from the source</v>
      </c>
      <c r="G1037" s="89" t="str">
        <f>_xlfn.CONCAT(_xlfn.XLOOKUP("[S05_CategoryCHighestTierNotApplied][1][HighestTierRequired]",Submission!$O:$O,Submission!$H:$N,""))</f>
        <v>Tier 4</v>
      </c>
      <c r="H1037" s="243" t="str">
        <f>_xlfn.CONCAT(_xlfn.XLOOKUP("[S05_CategoryCHighestTierNotApplied][1][TierInPractice]",Submission!$O:$O,Submission!$H:$N,""))</f>
        <v>Tier 3</v>
      </c>
      <c r="I1037" s="245"/>
    </row>
    <row r="1038" spans="1:9" ht="24.6" customHeight="1" x14ac:dyDescent="0.3">
      <c r="B1038" s="34"/>
      <c r="C1038" s="72" t="str">
        <f>_xlfn.CONCAT(_xlfn.XLOOKUP("[S05_CategoryCHighestTierNotApplied][2][InstallationID]",Submission!$O:$O,Submission!$H:$N,""))</f>
        <v>CZ-36</v>
      </c>
      <c r="D1038" s="72" t="str">
        <f>_xlfn.CONCAT(_xlfn.XLOOKUP("[S05_CategoryCHighestTierNotApplied][2][SourceStreamAffected]",Submission!$O:$O,Submission!$H:$N,""))</f>
        <v>n.a.</v>
      </c>
      <c r="E1038" s="72" t="str">
        <f>_xlfn.CONCAT(_xlfn.XLOOKUP("[S05_CategoryCHighestTierNotApplied][2][EmissionSourceAffected]",Submission!$O:$O,Submission!$H:$N,""))</f>
        <v>6 major emission sources</v>
      </c>
      <c r="F1038" s="72" t="str">
        <f>_xlfn.CONCAT(_xlfn.XLOOKUP("[S05_CategoryCHighestTierNotApplied][2][MonitoringParameterAffected]",Submission!$O:$O,Submission!$H:$N,""))</f>
        <v>Annual average hourly emissions in kg/h from the source</v>
      </c>
      <c r="G1038" s="89" t="str">
        <f>_xlfn.CONCAT(_xlfn.XLOOKUP("[S05_CategoryCHighestTierNotApplied][2][HighestTierRequired]",Submission!$O:$O,Submission!$H:$N,""))</f>
        <v>Tier 4</v>
      </c>
      <c r="H1038" s="243" t="str">
        <f>_xlfn.CONCAT(_xlfn.XLOOKUP("[S05_CategoryCHighestTierNotApplied][2][TierInPractice]",Submission!$O:$O,Submission!$H:$N,""))</f>
        <v>Tier 3</v>
      </c>
      <c r="I1038" s="245"/>
    </row>
    <row r="1039" spans="1:9" ht="24.6" customHeight="1" x14ac:dyDescent="0.3">
      <c r="A1039" s="13"/>
      <c r="B1039" s="34"/>
      <c r="C1039" s="72" t="str">
        <f>_xlfn.CONCAT(_xlfn.XLOOKUP("[S05_CategoryCHighestTierNotApplied][3][InstallationID]",Submission!$O:$O,Submission!$H:$N,""))</f>
        <v>CZ-65</v>
      </c>
      <c r="D1039" s="72" t="str">
        <f>_xlfn.CONCAT(_xlfn.XLOOKUP("[S05_CategoryCHighestTierNotApplied][3][SourceStreamAffected]",Submission!$O:$O,Submission!$H:$N,""))</f>
        <v>n.a.</v>
      </c>
      <c r="E1039" s="72" t="str">
        <f>_xlfn.CONCAT(_xlfn.XLOOKUP("[S05_CategoryCHighestTierNotApplied][3][EmissionSourceAffected]",Submission!$O:$O,Submission!$H:$N,""))</f>
        <v>4 major emission sources</v>
      </c>
      <c r="F1039" s="72" t="str">
        <f>_xlfn.CONCAT(_xlfn.XLOOKUP("[S05_CategoryCHighestTierNotApplied][3][MonitoringParameterAffected]",Submission!$O:$O,Submission!$H:$N,""))</f>
        <v>Annual average hourly emissions in kg/h from the source</v>
      </c>
      <c r="G1039" s="89" t="str">
        <f>_xlfn.CONCAT(_xlfn.XLOOKUP("[S05_CategoryCHighestTierNotApplied][3][HighestTierRequired]",Submission!$O:$O,Submission!$H:$N,""))</f>
        <v>Tier 4</v>
      </c>
      <c r="H1039" s="243" t="str">
        <f>_xlfn.CONCAT(_xlfn.XLOOKUP("[S05_CategoryCHighestTierNotApplied][3][TierInPractice]",Submission!$O:$O,Submission!$H:$N,""))</f>
        <v>Tier 3</v>
      </c>
      <c r="I1039" s="245"/>
    </row>
    <row r="1040" spans="1:9" ht="24.6" customHeight="1" x14ac:dyDescent="0.3">
      <c r="B1040" s="34"/>
      <c r="C1040" s="72" t="str">
        <f>_xlfn.CONCAT(_xlfn.XLOOKUP("[S05_CategoryCHighestTierNotApplied][4][InstallationID]",Submission!$O:$O,Submission!$H:$N,""))</f>
        <v>CZ-45</v>
      </c>
      <c r="D1040" s="72" t="str">
        <f>_xlfn.CONCAT(_xlfn.XLOOKUP("[S05_CategoryCHighestTierNotApplied][4][SourceStreamAffected]",Submission!$O:$O,Submission!$H:$N,""))</f>
        <v>n.a.</v>
      </c>
      <c r="E1040" s="72" t="str">
        <f>_xlfn.CONCAT(_xlfn.XLOOKUP("[S05_CategoryCHighestTierNotApplied][4][EmissionSourceAffected]",Submission!$O:$O,Submission!$H:$N,""))</f>
        <v>6 major emission sources</v>
      </c>
      <c r="F1040" s="72" t="str">
        <f>_xlfn.CONCAT(_xlfn.XLOOKUP("[S05_CategoryCHighestTierNotApplied][4][MonitoringParameterAffected]",Submission!$O:$O,Submission!$H:$N,""))</f>
        <v>Annual average hourly emissions in kg/h from the source</v>
      </c>
      <c r="G1040" s="89" t="str">
        <f>_xlfn.CONCAT(_xlfn.XLOOKUP("[S05_CategoryCHighestTierNotApplied][4][HighestTierRequired]",Submission!$O:$O,Submission!$H:$N,""))</f>
        <v>Tier 4</v>
      </c>
      <c r="H1040" s="243" t="str">
        <f>_xlfn.CONCAT(_xlfn.XLOOKUP("[S05_CategoryCHighestTierNotApplied][4][TierInPractice]",Submission!$O:$O,Submission!$H:$N,""))</f>
        <v>Tier 3</v>
      </c>
      <c r="I1040" s="245"/>
    </row>
    <row r="1041" spans="1:9" ht="24.6" customHeight="1" x14ac:dyDescent="0.3">
      <c r="B1041" s="34"/>
      <c r="C1041" s="72" t="str">
        <f>_xlfn.CONCAT(_xlfn.XLOOKUP("[S05_CategoryCHighestTierNotApplied][5][InstallationID]",Submission!$O:$O,Submission!$H:$N,""))</f>
        <v>CZ-151</v>
      </c>
      <c r="D1041" s="72" t="str">
        <f>_xlfn.CONCAT(_xlfn.XLOOKUP("[S05_CategoryCHighestTierNotApplied][5][SourceStreamAffected]",Submission!$O:$O,Submission!$H:$N,""))</f>
        <v>n.a.</v>
      </c>
      <c r="E1041" s="72" t="str">
        <f>_xlfn.CONCAT(_xlfn.XLOOKUP("[S05_CategoryCHighestTierNotApplied][5][EmissionSourceAffected]",Submission!$O:$O,Submission!$H:$N,""))</f>
        <v>6 major emission sources</v>
      </c>
      <c r="F1041" s="72" t="str">
        <f>_xlfn.CONCAT(_xlfn.XLOOKUP("[S05_CategoryCHighestTierNotApplied][5][MonitoringParameterAffected]",Submission!$O:$O,Submission!$H:$N,""))</f>
        <v>Annual average hourly emissions in kg/h from the source</v>
      </c>
      <c r="G1041" s="89" t="str">
        <f>_xlfn.CONCAT(_xlfn.XLOOKUP("[S05_CategoryCHighestTierNotApplied][5][HighestTierRequired]",Submission!$O:$O,Submission!$H:$N,""))</f>
        <v>Tier 4</v>
      </c>
      <c r="H1041" s="243" t="str">
        <f>_xlfn.CONCAT(_xlfn.XLOOKUP("[S05_CategoryCHighestTierNotApplied][5][TierInPractice]",Submission!$O:$O,Submission!$H:$N,""))</f>
        <v>Tier 3</v>
      </c>
      <c r="I1041" s="245"/>
    </row>
    <row r="1042" spans="1:9" ht="24.6" customHeight="1" x14ac:dyDescent="0.3">
      <c r="B1042" s="34"/>
      <c r="C1042" s="72" t="str">
        <f>_xlfn.CONCAT(_xlfn.XLOOKUP("[S05_CategoryCHighestTierNotApplied][6][InstallationID]",Submission!$O:$O,Submission!$H:$N,""))</f>
        <v>CZ-118</v>
      </c>
      <c r="D1042" s="72" t="str">
        <f>_xlfn.CONCAT(_xlfn.XLOOKUP("[S05_CategoryCHighestTierNotApplied][6][SourceStreamAffected]",Submission!$O:$O,Submission!$H:$N,""))</f>
        <v>n.a.</v>
      </c>
      <c r="E1042" s="72" t="str">
        <f>_xlfn.CONCAT(_xlfn.XLOOKUP("[S05_CategoryCHighestTierNotApplied][6][EmissionSourceAffected]",Submission!$O:$O,Submission!$H:$N,""))</f>
        <v>3 major emission sources</v>
      </c>
      <c r="F1042" s="72" t="str">
        <f>_xlfn.CONCAT(_xlfn.XLOOKUP("[S05_CategoryCHighestTierNotApplied][6][MonitoringParameterAffected]",Submission!$O:$O,Submission!$H:$N,""))</f>
        <v>Annual average hourly emissions in kg/h from the source</v>
      </c>
      <c r="G1042" s="89" t="str">
        <f>_xlfn.CONCAT(_xlfn.XLOOKUP("[S05_CategoryCHighestTierNotApplied][6][HighestTierRequired]",Submission!$O:$O,Submission!$H:$N,""))</f>
        <v>Tier 4</v>
      </c>
      <c r="H1042" s="243" t="str">
        <f>_xlfn.CONCAT(_xlfn.XLOOKUP("[S05_CategoryCHighestTierNotApplied][6][TierInPractice]",Submission!$O:$O,Submission!$H:$N,""))</f>
        <v>Tier 3</v>
      </c>
      <c r="I1042" s="245"/>
    </row>
    <row r="1043" spans="1:9" ht="24.6" customHeight="1" x14ac:dyDescent="0.3">
      <c r="B1043" s="34"/>
      <c r="C1043" s="72" t="str">
        <f>_xlfn.CONCAT(_xlfn.XLOOKUP("[S05_CategoryCHighestTierNotApplied][7][InstallationID]",Submission!$O:$O,Submission!$H:$N,""))</f>
        <v>CZ-120</v>
      </c>
      <c r="D1043" s="72" t="str">
        <f>_xlfn.CONCAT(_xlfn.XLOOKUP("[S05_CategoryCHighestTierNotApplied][7][SourceStreamAffected]",Submission!$O:$O,Submission!$H:$N,""))</f>
        <v>n.a.</v>
      </c>
      <c r="E1043" s="72" t="str">
        <f>_xlfn.CONCAT(_xlfn.XLOOKUP("[S05_CategoryCHighestTierNotApplied][7][EmissionSourceAffected]",Submission!$O:$O,Submission!$H:$N,""))</f>
        <v>4 major emission sources</v>
      </c>
      <c r="F1043" s="72" t="str">
        <f>_xlfn.CONCAT(_xlfn.XLOOKUP("[S05_CategoryCHighestTierNotApplied][7][MonitoringParameterAffected]",Submission!$O:$O,Submission!$H:$N,""))</f>
        <v>Annual average hourly emissions in kg/h from the source</v>
      </c>
      <c r="G1043" s="89" t="str">
        <f>_xlfn.CONCAT(_xlfn.XLOOKUP("[S05_CategoryCHighestTierNotApplied][7][HighestTierRequired]",Submission!$O:$O,Submission!$H:$N,""))</f>
        <v>Tier 4</v>
      </c>
      <c r="H1043" s="243" t="str">
        <f>_xlfn.CONCAT(_xlfn.XLOOKUP("[S05_CategoryCHighestTierNotApplied][7][TierInPractice]",Submission!$O:$O,Submission!$H:$N,""))</f>
        <v>Tier 3</v>
      </c>
      <c r="I1043" s="245"/>
    </row>
    <row r="1044" spans="1:9" ht="24.6" customHeight="1" x14ac:dyDescent="0.3">
      <c r="B1044" s="34"/>
      <c r="C1044" s="72" t="str">
        <f>_xlfn.CONCAT(_xlfn.XLOOKUP("[S05_CategoryCHighestTierNotApplied][8][InstallationID]",Submission!$O:$O,Submission!$H:$N,""))</f>
        <v>CZ-121</v>
      </c>
      <c r="D1044" s="72" t="str">
        <f>_xlfn.CONCAT(_xlfn.XLOOKUP("[S05_CategoryCHighestTierNotApplied][8][SourceStreamAffected]",Submission!$O:$O,Submission!$H:$N,""))</f>
        <v>n.a.</v>
      </c>
      <c r="E1044" s="72" t="str">
        <f>_xlfn.CONCAT(_xlfn.XLOOKUP("[S05_CategoryCHighestTierNotApplied][8][EmissionSourceAffected]",Submission!$O:$O,Submission!$H:$N,""))</f>
        <v>1 major emission source</v>
      </c>
      <c r="F1044" s="72" t="str">
        <f>_xlfn.CONCAT(_xlfn.XLOOKUP("[S05_CategoryCHighestTierNotApplied][8][MonitoringParameterAffected]",Submission!$O:$O,Submission!$H:$N,""))</f>
        <v>Annual average hourly emissions in kg/h from the source</v>
      </c>
      <c r="G1044" s="89" t="str">
        <f>_xlfn.CONCAT(_xlfn.XLOOKUP("[S05_CategoryCHighestTierNotApplied][8][HighestTierRequired]",Submission!$O:$O,Submission!$H:$N,""))</f>
        <v>Tier 4</v>
      </c>
      <c r="H1044" s="243" t="str">
        <f>_xlfn.CONCAT(_xlfn.XLOOKUP("[S05_CategoryCHighestTierNotApplied][8][TierInPractice]",Submission!$O:$O,Submission!$H:$N,""))</f>
        <v>Tier 3</v>
      </c>
      <c r="I1044" s="245"/>
    </row>
    <row r="1045" spans="1:9" ht="24.6" customHeight="1" x14ac:dyDescent="0.3">
      <c r="A1045" s="13"/>
      <c r="B1045" s="34"/>
      <c r="C1045" s="72" t="str">
        <f>_xlfn.CONCAT(_xlfn.XLOOKUP("[S05_CategoryCHighestTierNotApplied][9][InstallationID]",Submission!$O:$O,Submission!$H:$N,""))</f>
        <v>CZ-122</v>
      </c>
      <c r="D1045" s="72" t="str">
        <f>_xlfn.CONCAT(_xlfn.XLOOKUP("[S05_CategoryCHighestTierNotApplied][9][SourceStreamAffected]",Submission!$O:$O,Submission!$H:$N,""))</f>
        <v>n.a.</v>
      </c>
      <c r="E1045" s="72" t="str">
        <f>_xlfn.CONCAT(_xlfn.XLOOKUP("[S05_CategoryCHighestTierNotApplied][9][EmissionSourceAffected]",Submission!$O:$O,Submission!$H:$N,""))</f>
        <v>2 major emission sources</v>
      </c>
      <c r="F1045" s="72" t="str">
        <f>_xlfn.CONCAT(_xlfn.XLOOKUP("[S05_CategoryCHighestTierNotApplied][9][MonitoringParameterAffected]",Submission!$O:$O,Submission!$H:$N,""))</f>
        <v>Annual average hourly emissions in kg/h from the source</v>
      </c>
      <c r="G1045" s="89" t="str">
        <f>_xlfn.CONCAT(_xlfn.XLOOKUP("[S05_CategoryCHighestTierNotApplied][9][HighestTierRequired]",Submission!$O:$O,Submission!$H:$N,""))</f>
        <v>Tier 4</v>
      </c>
      <c r="H1045" s="243" t="str">
        <f>_xlfn.CONCAT(_xlfn.XLOOKUP("[S05_CategoryCHighestTierNotApplied][9][TierInPractice]",Submission!$O:$O,Submission!$H:$N,""))</f>
        <v>Tier 3</v>
      </c>
      <c r="I1045" s="245"/>
    </row>
    <row r="1046" spans="1:9" ht="24.6" customHeight="1" x14ac:dyDescent="0.3">
      <c r="A1046" s="13"/>
      <c r="B1046" s="34"/>
      <c r="C1046" s="72" t="str">
        <f>_xlfn.CONCAT(_xlfn.XLOOKUP("[S05_CategoryCHighestTierNotApplied][10][InstallationID]",Submission!$O:$O,Submission!$H:$N,""))</f>
        <v>CZ-123</v>
      </c>
      <c r="D1046" s="72" t="str">
        <f>_xlfn.CONCAT(_xlfn.XLOOKUP("[S05_CategoryCHighestTierNotApplied][10][SourceStreamAffected]",Submission!$O:$O,Submission!$H:$N,""))</f>
        <v>n.a.</v>
      </c>
      <c r="E1046" s="72" t="str">
        <f>_xlfn.CONCAT(_xlfn.XLOOKUP("[S05_CategoryCHighestTierNotApplied][10][EmissionSourceAffected]",Submission!$O:$O,Submission!$H:$N,""))</f>
        <v>1 major emission source</v>
      </c>
      <c r="F1046" s="72" t="str">
        <f>_xlfn.CONCAT(_xlfn.XLOOKUP("[S05_CategoryCHighestTierNotApplied][10][MonitoringParameterAffected]",Submission!$O:$O,Submission!$H:$N,""))</f>
        <v>Annual average hourly emissions in kg/h from the source</v>
      </c>
      <c r="G1046" s="89" t="str">
        <f>_xlfn.CONCAT(_xlfn.XLOOKUP("[S05_CategoryCHighestTierNotApplied][10][HighestTierRequired]",Submission!$O:$O,Submission!$H:$N,""))</f>
        <v>Tier 4</v>
      </c>
      <c r="H1046" s="243" t="str">
        <f>_xlfn.CONCAT(_xlfn.XLOOKUP("[S05_CategoryCHighestTierNotApplied][10][TierInPractice]",Submission!$O:$O,Submission!$H:$N,""))</f>
        <v>Tier 3</v>
      </c>
      <c r="I1046" s="245"/>
    </row>
    <row r="1047" spans="1:9" ht="24.6" customHeight="1" x14ac:dyDescent="0.3">
      <c r="B1047" s="34"/>
      <c r="C1047" s="72" t="str">
        <f>_xlfn.CONCAT(_xlfn.XLOOKUP("[S05_CategoryCHighestTierNotApplied][11][InstallationID]",Submission!$O:$O,Submission!$H:$N,""))</f>
        <v>CZ-124</v>
      </c>
      <c r="D1047" s="72" t="str">
        <f>_xlfn.CONCAT(_xlfn.XLOOKUP("[S05_CategoryCHighestTierNotApplied][11][SourceStreamAffected]",Submission!$O:$O,Submission!$H:$N,""))</f>
        <v>n.a.</v>
      </c>
      <c r="E1047" s="72" t="str">
        <f>_xlfn.CONCAT(_xlfn.XLOOKUP("[S05_CategoryCHighestTierNotApplied][11][EmissionSourceAffected]",Submission!$O:$O,Submission!$H:$N,""))</f>
        <v>5 major emission sources</v>
      </c>
      <c r="F1047" s="72" t="str">
        <f>_xlfn.CONCAT(_xlfn.XLOOKUP("[S05_CategoryCHighestTierNotApplied][11][MonitoringParameterAffected]",Submission!$O:$O,Submission!$H:$N,""))</f>
        <v>Annual average hourly emissions in kg/h from the source</v>
      </c>
      <c r="G1047" s="89" t="str">
        <f>_xlfn.CONCAT(_xlfn.XLOOKUP("[S05_CategoryCHighestTierNotApplied][11][HighestTierRequired]",Submission!$O:$O,Submission!$H:$N,""))</f>
        <v>Tier 4</v>
      </c>
      <c r="H1047" s="243" t="str">
        <f>_xlfn.CONCAT(_xlfn.XLOOKUP("[S05_CategoryCHighestTierNotApplied][11][TierInPractice]",Submission!$O:$O,Submission!$H:$N,""))</f>
        <v>Tier 3</v>
      </c>
      <c r="I1047" s="245"/>
    </row>
    <row r="1048" spans="1:9" ht="24.6" customHeight="1" x14ac:dyDescent="0.3">
      <c r="A1048" s="13"/>
      <c r="B1048" s="34"/>
      <c r="C1048" s="72" t="str">
        <f>_xlfn.CONCAT(_xlfn.XLOOKUP("[S05_CategoryCHighestTierNotApplied][12][InstallationID]",Submission!$O:$O,Submission!$H:$N,""))</f>
        <v>CZ-125</v>
      </c>
      <c r="D1048" s="72" t="str">
        <f>_xlfn.CONCAT(_xlfn.XLOOKUP("[S05_CategoryCHighestTierNotApplied][12][SourceStreamAffected]",Submission!$O:$O,Submission!$H:$N,""))</f>
        <v>n.a.</v>
      </c>
      <c r="E1048" s="72" t="str">
        <f>_xlfn.CONCAT(_xlfn.XLOOKUP("[S05_CategoryCHighestTierNotApplied][12][EmissionSourceAffected]",Submission!$O:$O,Submission!$H:$N,""))</f>
        <v>2 major emission sources</v>
      </c>
      <c r="F1048" s="72" t="str">
        <f>_xlfn.CONCAT(_xlfn.XLOOKUP("[S05_CategoryCHighestTierNotApplied][12][MonitoringParameterAffected]",Submission!$O:$O,Submission!$H:$N,""))</f>
        <v>Annual average hourly emissions in kg/h from the source</v>
      </c>
      <c r="G1048" s="89" t="str">
        <f>_xlfn.CONCAT(_xlfn.XLOOKUP("[S05_CategoryCHighestTierNotApplied][12][HighestTierRequired]",Submission!$O:$O,Submission!$H:$N,""))</f>
        <v>Tier 4</v>
      </c>
      <c r="H1048" s="243" t="str">
        <f>_xlfn.CONCAT(_xlfn.XLOOKUP("[S05_CategoryCHighestTierNotApplied][12][TierInPractice]",Submission!$O:$O,Submission!$H:$N,""))</f>
        <v>Tier 3</v>
      </c>
      <c r="I1048" s="245"/>
    </row>
    <row r="1049" spans="1:9" ht="24.6" customHeight="1" x14ac:dyDescent="0.3">
      <c r="A1049" s="13"/>
      <c r="B1049" s="34"/>
      <c r="C1049" s="72" t="str">
        <f>_xlfn.CONCAT(_xlfn.XLOOKUP("[S05_CategoryCHighestTierNotApplied][13][InstallationID]",Submission!$O:$O,Submission!$H:$N,""))</f>
        <v>CZ-128</v>
      </c>
      <c r="D1049" s="72" t="str">
        <f>_xlfn.CONCAT(_xlfn.XLOOKUP("[S05_CategoryCHighestTierNotApplied][13][SourceStreamAffected]",Submission!$O:$O,Submission!$H:$N,""))</f>
        <v>n.a.</v>
      </c>
      <c r="E1049" s="72" t="str">
        <f>_xlfn.CONCAT(_xlfn.XLOOKUP("[S05_CategoryCHighestTierNotApplied][13][EmissionSourceAffected]",Submission!$O:$O,Submission!$H:$N,""))</f>
        <v>3 major emission sources</v>
      </c>
      <c r="F1049" s="72" t="str">
        <f>_xlfn.CONCAT(_xlfn.XLOOKUP("[S05_CategoryCHighestTierNotApplied][13][MonitoringParameterAffected]",Submission!$O:$O,Submission!$H:$N,""))</f>
        <v>Annual average hourly emissions in kg/h from the source</v>
      </c>
      <c r="G1049" s="89" t="str">
        <f>_xlfn.CONCAT(_xlfn.XLOOKUP("[S05_CategoryCHighestTierNotApplied][13][HighestTierRequired]",Submission!$O:$O,Submission!$H:$N,""))</f>
        <v>Tier 4</v>
      </c>
      <c r="H1049" s="243" t="str">
        <f>_xlfn.CONCAT(_xlfn.XLOOKUP("[S05_CategoryCHighestTierNotApplied][13][TierInPractice]",Submission!$O:$O,Submission!$H:$N,""))</f>
        <v>Tier 3</v>
      </c>
      <c r="I1049" s="245"/>
    </row>
    <row r="1050" spans="1:9" ht="24.6" customHeight="1" x14ac:dyDescent="0.3">
      <c r="A1050" s="13"/>
      <c r="B1050" s="34"/>
      <c r="C1050" s="72" t="str">
        <f>_xlfn.CONCAT(_xlfn.XLOOKUP("[S05_CategoryCHighestTierNotApplied][14][InstallationID]",Submission!$O:$O,Submission!$H:$N,""))</f>
        <v>CZ-129</v>
      </c>
      <c r="D1050" s="72" t="str">
        <f>_xlfn.CONCAT(_xlfn.XLOOKUP("[S05_CategoryCHighestTierNotApplied][14][SourceStreamAffected]",Submission!$O:$O,Submission!$H:$N,""))</f>
        <v>n.a.</v>
      </c>
      <c r="E1050" s="72" t="str">
        <f>_xlfn.CONCAT(_xlfn.XLOOKUP("[S05_CategoryCHighestTierNotApplied][14][EmissionSourceAffected]",Submission!$O:$O,Submission!$H:$N,""))</f>
        <v>4 major emission sources</v>
      </c>
      <c r="F1050" s="72" t="str">
        <f>_xlfn.CONCAT(_xlfn.XLOOKUP("[S05_CategoryCHighestTierNotApplied][14][MonitoringParameterAffected]",Submission!$O:$O,Submission!$H:$N,""))</f>
        <v>Annual average hourly emissions in kg/h from the source</v>
      </c>
      <c r="G1050" s="89" t="str">
        <f>_xlfn.CONCAT(_xlfn.XLOOKUP("[S05_CategoryCHighestTierNotApplied][14][HighestTierRequired]",Submission!$O:$O,Submission!$H:$N,""))</f>
        <v>Tier 4</v>
      </c>
      <c r="H1050" s="243" t="str">
        <f>_xlfn.CONCAT(_xlfn.XLOOKUP("[S05_CategoryCHighestTierNotApplied][14][TierInPractice]",Submission!$O:$O,Submission!$H:$N,""))</f>
        <v>Tier 3</v>
      </c>
      <c r="I1050" s="245"/>
    </row>
    <row r="1051" spans="1:9" ht="24.6" hidden="1" customHeight="1" outlineLevel="1" x14ac:dyDescent="0.3">
      <c r="A1051" s="13"/>
      <c r="B1051" s="34"/>
      <c r="C1051" s="72" t="str">
        <f>_xlfn.CONCAT(_xlfn.XLOOKUP("[S05_CategoryCHighestTierNotApplied][15][InstallationID]",Submission!$O:$O,Submission!$H:$N,""))</f>
        <v>CZ-126</v>
      </c>
      <c r="D1051" s="72" t="str">
        <f>_xlfn.CONCAT(_xlfn.XLOOKUP("[S05_CategoryCHighestTierNotApplied][15][SourceStreamAffected]",Submission!$O:$O,Submission!$H:$N,""))</f>
        <v>n.a.</v>
      </c>
      <c r="E1051" s="72" t="str">
        <f>_xlfn.CONCAT(_xlfn.XLOOKUP("[S05_CategoryCHighestTierNotApplied][15][EmissionSourceAffected]",Submission!$O:$O,Submission!$H:$N,""))</f>
        <v>4 major emission sources</v>
      </c>
      <c r="F1051" s="72" t="str">
        <f>_xlfn.CONCAT(_xlfn.XLOOKUP("[S05_CategoryCHighestTierNotApplied][15][MonitoringParameterAffected]",Submission!$O:$O,Submission!$H:$N,""))</f>
        <v>Annual average hourly emissions in kg/h from the source</v>
      </c>
      <c r="G1051" s="89" t="str">
        <f>_xlfn.CONCAT(_xlfn.XLOOKUP("[S05_CategoryCHighestTierNotApplied][15][HighestTierRequired]",Submission!$O:$O,Submission!$H:$N,""))</f>
        <v>Tier 4</v>
      </c>
      <c r="H1051" s="243" t="str">
        <f>_xlfn.CONCAT(_xlfn.XLOOKUP("[S05_CategoryCHighestTierNotApplied][15][TierInPractice]",Submission!$O:$O,Submission!$H:$N,""))</f>
        <v>Tier 3</v>
      </c>
      <c r="I1051" s="245"/>
    </row>
    <row r="1052" spans="1:9" ht="24.6" hidden="1" customHeight="1" outlineLevel="1" x14ac:dyDescent="0.3">
      <c r="B1052" s="34"/>
      <c r="C1052" s="72" t="str">
        <f>_xlfn.CONCAT(_xlfn.XLOOKUP("[S05_CategoryCHighestTierNotApplied][16][InstallationID]",Submission!$O:$O,Submission!$H:$N,""))</f>
        <v>CZ-127</v>
      </c>
      <c r="D1052" s="72" t="str">
        <f>_xlfn.CONCAT(_xlfn.XLOOKUP("[S05_CategoryCHighestTierNotApplied][16][SourceStreamAffected]",Submission!$O:$O,Submission!$H:$N,""))</f>
        <v>n.a.</v>
      </c>
      <c r="E1052" s="72" t="str">
        <f>_xlfn.CONCAT(_xlfn.XLOOKUP("[S05_CategoryCHighestTierNotApplied][16][EmissionSourceAffected]",Submission!$O:$O,Submission!$H:$N,""))</f>
        <v>3 major emission sources</v>
      </c>
      <c r="F1052" s="72" t="str">
        <f>_xlfn.CONCAT(_xlfn.XLOOKUP("[S05_CategoryCHighestTierNotApplied][16][MonitoringParameterAffected]",Submission!$O:$O,Submission!$H:$N,""))</f>
        <v>Annual average hourly emissions in kg/h from the source</v>
      </c>
      <c r="G1052" s="89" t="str">
        <f>_xlfn.CONCAT(_xlfn.XLOOKUP("[S05_CategoryCHighestTierNotApplied][16][HighestTierRequired]",Submission!$O:$O,Submission!$H:$N,""))</f>
        <v>Tier 4</v>
      </c>
      <c r="H1052" s="243" t="str">
        <f>_xlfn.CONCAT(_xlfn.XLOOKUP("[S05_CategoryCHighestTierNotApplied][16][TierInPractice]",Submission!$O:$O,Submission!$H:$N,""))</f>
        <v>Tier 3</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58" t="s">
        <v>875</v>
      </c>
      <c r="D1093" s="359"/>
      <c r="E1093" s="359"/>
      <c r="F1093" s="359"/>
      <c r="G1093" s="359"/>
      <c r="H1093" s="359"/>
      <c r="I1093" s="359"/>
    </row>
    <row r="1094" spans="1:9" ht="26.1" customHeight="1" x14ac:dyDescent="0.3">
      <c r="C1094" s="358" t="s">
        <v>876</v>
      </c>
      <c r="D1094" s="358"/>
      <c r="E1094" s="358"/>
      <c r="F1094" s="358"/>
      <c r="G1094" s="358"/>
      <c r="H1094" s="358"/>
      <c r="I1094" s="358"/>
    </row>
    <row r="1095" spans="1:9" ht="15.9" customHeight="1" x14ac:dyDescent="0.3">
      <c r="B1095" s="34"/>
      <c r="C1095" s="20"/>
      <c r="D1095" s="20"/>
      <c r="E1095" s="20"/>
      <c r="F1095" s="20"/>
      <c r="G1095" s="20"/>
      <c r="H1095" s="20"/>
      <c r="I1095" s="20"/>
    </row>
    <row r="1096" spans="1:9" ht="34.200000000000003" customHeight="1" x14ac:dyDescent="0.3">
      <c r="A1096" s="12" t="s">
        <v>254</v>
      </c>
      <c r="B1096" s="338" t="s">
        <v>877</v>
      </c>
      <c r="C1096" s="308"/>
      <c r="D1096" s="308"/>
      <c r="E1096" s="308"/>
      <c r="F1096" s="308"/>
      <c r="G1096" s="308"/>
      <c r="H1096" s="308"/>
      <c r="I1096" s="308"/>
    </row>
    <row r="1097" spans="1:9" ht="15.9" customHeight="1" x14ac:dyDescent="0.3">
      <c r="B1097" s="34"/>
      <c r="C1097" s="317" t="s">
        <v>878</v>
      </c>
      <c r="D1097" s="318"/>
      <c r="E1097" s="317" t="s">
        <v>879</v>
      </c>
      <c r="F1097" s="370"/>
      <c r="G1097" s="318"/>
      <c r="H1097" s="317" t="s">
        <v>880</v>
      </c>
      <c r="I1097" s="318"/>
    </row>
    <row r="1098" spans="1:9" ht="25.95" customHeight="1" x14ac:dyDescent="0.3">
      <c r="B1098" s="34"/>
      <c r="C1098" s="258" t="str">
        <f>_xlfn.CONCAT(_xlfn.XLOOKUP("[S05_CategoryBHighestTierNotApplied][1][MonitoringMethodology]",Submission!$O:$O,Submission!$H:$N,""))</f>
        <v>Measurement based methodology</v>
      </c>
      <c r="D1098" s="260"/>
      <c r="E1098" s="274" t="str">
        <f>_xlfn.CONCAT(_xlfn.XLOOKUP("[S05_CategoryBHighestTierNotApplied][1][CategoryBMainActivity]",Submission!$O:$O,Submission!$H:$N,""))</f>
        <v>20 - Combustion of fuels as specified in Annex I of Directive 2003/87/EC</v>
      </c>
      <c r="F1098" s="369"/>
      <c r="G1098" s="259"/>
      <c r="H1098" s="351" t="str">
        <f>_xlfn.CONCAT(_xlfn.XLOOKUP("[S05_CategoryBHighestTierNotApplied][1][CategoryBInstallationsAffected]",Submission!$O:$O,Submission!$H:$N,""))</f>
        <v>2</v>
      </c>
      <c r="I1098" s="352"/>
    </row>
    <row r="1099" spans="1:9" ht="25.95" customHeight="1" x14ac:dyDescent="0.3">
      <c r="B1099" s="34"/>
      <c r="C1099" s="258" t="str">
        <f>_xlfn.CONCAT(_xlfn.XLOOKUP("[S05_CategoryBHighestTierNotApplied][2][MonitoringMethodology]",Submission!$O:$O,Submission!$H:$N,""))</f>
        <v>Measurement based methodology</v>
      </c>
      <c r="D1099" s="260"/>
      <c r="E1099" s="274" t="str">
        <f>_xlfn.CONCAT(_xlfn.XLOOKUP("[S05_CategoryBHighestTierNotApplied][2][CategoryBMainActivity]",Submission!$O:$O,Submission!$H:$N,""))</f>
        <v xml:space="preserve">38 - Production of nitric acid </v>
      </c>
      <c r="F1099" s="369"/>
      <c r="G1099" s="259"/>
      <c r="H1099" s="351" t="str">
        <f>_xlfn.CONCAT(_xlfn.XLOOKUP("[S05_CategoryBHighestTierNotApplied][2][CategoryBInstallationsAffected]",Submission!$O:$O,Submission!$H:$N,""))</f>
        <v>1</v>
      </c>
      <c r="I1099" s="352"/>
    </row>
    <row r="1100" spans="1:9" ht="25.95" customHeight="1" x14ac:dyDescent="0.3">
      <c r="B1100" s="34"/>
      <c r="C1100" s="258" t="str">
        <f>_xlfn.CONCAT(_xlfn.XLOOKUP("[S05_CategoryBHighestTierNotApplied][3][MonitoringMethodology]",Submission!$O:$O,Submission!$H:$N,""))</f>
        <v/>
      </c>
      <c r="D1100" s="260"/>
      <c r="E1100" s="274" t="str">
        <f>_xlfn.CONCAT(_xlfn.XLOOKUP("[S05_CategoryBHighestTierNotApplied][3][CategoryBMainActivity]",Submission!$O:$O,Submission!$H:$N,""))</f>
        <v/>
      </c>
      <c r="F1100" s="369"/>
      <c r="G1100" s="259"/>
      <c r="H1100" s="351" t="str">
        <f>_xlfn.CONCAT(_xlfn.XLOOKUP("[S05_CategoryBHighestTierNotApplied][3][CategoryBInstallationsAffected]",Submission!$O:$O,Submission!$H:$N,""))</f>
        <v/>
      </c>
      <c r="I1100" s="352"/>
    </row>
    <row r="1101" spans="1:9" ht="25.95" customHeight="1" x14ac:dyDescent="0.3">
      <c r="B1101" s="34"/>
      <c r="C1101" s="258" t="str">
        <f>_xlfn.CONCAT(_xlfn.XLOOKUP("[S05_CategoryBHighestTierNotApplied][4][MonitoringMethodology]",Submission!$O:$O,Submission!$H:$N,""))</f>
        <v/>
      </c>
      <c r="D1101" s="260"/>
      <c r="E1101" s="274" t="str">
        <f>_xlfn.CONCAT(_xlfn.XLOOKUP("[S05_CategoryBHighestTierNotApplied][4][CategoryBMainActivity]",Submission!$O:$O,Submission!$H:$N,""))</f>
        <v/>
      </c>
      <c r="F1101" s="369"/>
      <c r="G1101" s="259"/>
      <c r="H1101" s="351" t="str">
        <f>_xlfn.CONCAT(_xlfn.XLOOKUP("[S05_CategoryBHighestTierNotApplied][4][CategoryBInstallationsAffected]",Submission!$O:$O,Submission!$H:$N,""))</f>
        <v/>
      </c>
      <c r="I1101" s="352"/>
    </row>
    <row r="1102" spans="1:9" ht="25.95" customHeight="1" x14ac:dyDescent="0.3">
      <c r="B1102" s="34"/>
      <c r="C1102" s="258" t="str">
        <f>_xlfn.CONCAT(_xlfn.XLOOKUP("[S05_CategoryBHighestTierNotApplied][5][MonitoringMethodology]",Submission!$O:$O,Submission!$H:$N,""))</f>
        <v/>
      </c>
      <c r="D1102" s="260"/>
      <c r="E1102" s="274" t="str">
        <f>_xlfn.CONCAT(_xlfn.XLOOKUP("[S05_CategoryBHighestTierNotApplied][5][CategoryBMainActivity]",Submission!$O:$O,Submission!$H:$N,""))</f>
        <v/>
      </c>
      <c r="F1102" s="369"/>
      <c r="G1102" s="259"/>
      <c r="H1102" s="351" t="str">
        <f>_xlfn.CONCAT(_xlfn.XLOOKUP("[S05_CategoryBHighestTierNotApplied][5][CategoryBInstallationsAffected]",Submission!$O:$O,Submission!$H:$N,""))</f>
        <v/>
      </c>
      <c r="I1102" s="352"/>
    </row>
    <row r="1103" spans="1:9" ht="25.95" customHeight="1" x14ac:dyDescent="0.3">
      <c r="B1103" s="34"/>
      <c r="C1103" s="258" t="str">
        <f>_xlfn.CONCAT(_xlfn.XLOOKUP("[S05_CategoryBHighestTierNotApplied][6][MonitoringMethodology]",Submission!$O:$O,Submission!$H:$N,""))</f>
        <v/>
      </c>
      <c r="D1103" s="260"/>
      <c r="E1103" s="274" t="str">
        <f>_xlfn.CONCAT(_xlfn.XLOOKUP("[S05_CategoryBHighestTierNotApplied][6][CategoryBMainActivity]",Submission!$O:$O,Submission!$H:$N,""))</f>
        <v/>
      </c>
      <c r="F1103" s="369"/>
      <c r="G1103" s="259"/>
      <c r="H1103" s="351" t="str">
        <f>_xlfn.CONCAT(_xlfn.XLOOKUP("[S05_CategoryBHighestTierNotApplied][6][CategoryBInstallationsAffected]",Submission!$O:$O,Submission!$H:$N,""))</f>
        <v/>
      </c>
      <c r="I1103" s="352"/>
    </row>
    <row r="1104" spans="1:9" ht="25.95" customHeight="1" x14ac:dyDescent="0.3">
      <c r="B1104" s="34"/>
      <c r="C1104" s="258" t="str">
        <f>_xlfn.CONCAT(_xlfn.XLOOKUP("[S05_CategoryBHighestTierNotApplied][7][MonitoringMethodology]",Submission!$O:$O,Submission!$H:$N,""))</f>
        <v/>
      </c>
      <c r="D1104" s="260"/>
      <c r="E1104" s="274" t="str">
        <f>_xlfn.CONCAT(_xlfn.XLOOKUP("[S05_CategoryBHighestTierNotApplied][7][CategoryBMainActivity]",Submission!$O:$O,Submission!$H:$N,""))</f>
        <v/>
      </c>
      <c r="F1104" s="369"/>
      <c r="G1104" s="259"/>
      <c r="H1104" s="351" t="str">
        <f>_xlfn.CONCAT(_xlfn.XLOOKUP("[S05_CategoryBHighestTierNotApplied][7][CategoryBInstallationsAffected]",Submission!$O:$O,Submission!$H:$N,""))</f>
        <v/>
      </c>
      <c r="I1104" s="352"/>
    </row>
    <row r="1105" spans="1:9" ht="25.95" hidden="1" customHeight="1" outlineLevel="1" x14ac:dyDescent="0.3">
      <c r="B1105" s="34"/>
      <c r="C1105" s="258" t="str">
        <f>_xlfn.CONCAT(_xlfn.XLOOKUP("[S05_CategoryBHighestTierNotApplied][8][MonitoringMethodology]",Submission!$O:$O,Submission!$H:$N,""))</f>
        <v/>
      </c>
      <c r="D1105" s="260"/>
      <c r="E1105" s="274" t="str">
        <f>_xlfn.CONCAT(_xlfn.XLOOKUP("[S05_CategoryBHighestTierNotApplied][8][CategoryBMainActivity]",Submission!$O:$O,Submission!$H:$N,""))</f>
        <v/>
      </c>
      <c r="F1105" s="369"/>
      <c r="G1105" s="259"/>
      <c r="H1105" s="351" t="str">
        <f>_xlfn.CONCAT(_xlfn.XLOOKUP("[S05_CategoryBHighestTierNotApplied][8][CategoryBInstallationsAffected]",Submission!$O:$O,Submission!$H:$N,""))</f>
        <v/>
      </c>
      <c r="I1105" s="352"/>
    </row>
    <row r="1106" spans="1:9" ht="25.95" hidden="1" customHeight="1" outlineLevel="1" x14ac:dyDescent="0.3">
      <c r="B1106" s="34"/>
      <c r="C1106" s="258" t="str">
        <f>_xlfn.CONCAT(_xlfn.XLOOKUP("[S05_CategoryBHighestTierNotApplied][9][MonitoringMethodology]",Submission!$O:$O,Submission!$H:$N,""))</f>
        <v/>
      </c>
      <c r="D1106" s="260"/>
      <c r="E1106" s="274" t="str">
        <f>_xlfn.CONCAT(_xlfn.XLOOKUP("[S05_CategoryBHighestTierNotApplied][9][CategoryBMainActivity]",Submission!$O:$O,Submission!$H:$N,""))</f>
        <v/>
      </c>
      <c r="F1106" s="369"/>
      <c r="G1106" s="259"/>
      <c r="H1106" s="351" t="str">
        <f>_xlfn.CONCAT(_xlfn.XLOOKUP("[S05_CategoryBHighestTierNotApplied][9][CategoryBInstallationsAffected]",Submission!$O:$O,Submission!$H:$N,""))</f>
        <v/>
      </c>
      <c r="I1106" s="352"/>
    </row>
    <row r="1107" spans="1:9" ht="25.95" hidden="1" customHeight="1" outlineLevel="1" x14ac:dyDescent="0.3">
      <c r="B1107" s="34"/>
      <c r="C1107" s="258" t="str">
        <f>_xlfn.CONCAT(_xlfn.XLOOKUP("[S05_CategoryBHighestTierNotApplied][10][MonitoringMethodology]",Submission!$O:$O,Submission!$H:$N,""))</f>
        <v/>
      </c>
      <c r="D1107" s="260"/>
      <c r="E1107" s="274" t="str">
        <f>_xlfn.CONCAT(_xlfn.XLOOKUP("[S05_CategoryBHighestTierNotApplied][10][CategoryBMainActivity]",Submission!$O:$O,Submission!$H:$N,""))</f>
        <v/>
      </c>
      <c r="F1107" s="369"/>
      <c r="G1107" s="259"/>
      <c r="H1107" s="351" t="str">
        <f>_xlfn.CONCAT(_xlfn.XLOOKUP("[S05_CategoryBHighestTierNotApplied][10][CategoryBInstallationsAffected]",Submission!$O:$O,Submission!$H:$N,""))</f>
        <v/>
      </c>
      <c r="I1107" s="352"/>
    </row>
    <row r="1108" spans="1:9" ht="25.95" hidden="1" customHeight="1" outlineLevel="1" x14ac:dyDescent="0.3">
      <c r="B1108" s="34"/>
      <c r="C1108" s="258" t="str">
        <f>_xlfn.CONCAT(_xlfn.XLOOKUP("[S05_CategoryBHighestTierNotApplied][11][MonitoringMethodology]",Submission!$O:$O,Submission!$H:$N,""))</f>
        <v/>
      </c>
      <c r="D1108" s="260"/>
      <c r="E1108" s="274" t="str">
        <f>_xlfn.CONCAT(_xlfn.XLOOKUP("[S05_CategoryBHighestTierNotApplied][11][CategoryBMainActivity]",Submission!$O:$O,Submission!$H:$N,""))</f>
        <v/>
      </c>
      <c r="F1108" s="369"/>
      <c r="G1108" s="259"/>
      <c r="H1108" s="351" t="str">
        <f>_xlfn.CONCAT(_xlfn.XLOOKUP("[S05_CategoryBHighestTierNotApplied][11][CategoryBInstallationsAffected]",Submission!$O:$O,Submission!$H:$N,""))</f>
        <v/>
      </c>
      <c r="I1108" s="352"/>
    </row>
    <row r="1109" spans="1:9" ht="25.95" hidden="1" customHeight="1" outlineLevel="1" x14ac:dyDescent="0.3">
      <c r="B1109" s="34"/>
      <c r="C1109" s="258" t="str">
        <f>_xlfn.CONCAT(_xlfn.XLOOKUP("[S05_CategoryBHighestTierNotApplied][12][MonitoringMethodology]",Submission!$O:$O,Submission!$H:$N,""))</f>
        <v/>
      </c>
      <c r="D1109" s="260"/>
      <c r="E1109" s="274" t="str">
        <f>_xlfn.CONCAT(_xlfn.XLOOKUP("[S05_CategoryBHighestTierNotApplied][12][CategoryBMainActivity]",Submission!$O:$O,Submission!$H:$N,""))</f>
        <v/>
      </c>
      <c r="F1109" s="369"/>
      <c r="G1109" s="259"/>
      <c r="H1109" s="351" t="str">
        <f>_xlfn.CONCAT(_xlfn.XLOOKUP("[S05_CategoryBHighestTierNotApplied][12][CategoryBInstallationsAffected]",Submission!$O:$O,Submission!$H:$N,""))</f>
        <v/>
      </c>
      <c r="I1109" s="352"/>
    </row>
    <row r="1110" spans="1:9" ht="25.95" hidden="1" customHeight="1" outlineLevel="1" x14ac:dyDescent="0.3">
      <c r="B1110" s="34"/>
      <c r="C1110" s="258" t="str">
        <f>_xlfn.CONCAT(_xlfn.XLOOKUP("[S05_CategoryBHighestTierNotApplied][13][MonitoringMethodology]",Submission!$O:$O,Submission!$H:$N,""))</f>
        <v/>
      </c>
      <c r="D1110" s="260"/>
      <c r="E1110" s="274" t="str">
        <f>_xlfn.CONCAT(_xlfn.XLOOKUP("[S05_CategoryBHighestTierNotApplied][13][CategoryBMainActivity]",Submission!$O:$O,Submission!$H:$N,""))</f>
        <v/>
      </c>
      <c r="F1110" s="369"/>
      <c r="G1110" s="259"/>
      <c r="H1110" s="351" t="str">
        <f>_xlfn.CONCAT(_xlfn.XLOOKUP("[S05_CategoryBHighestTierNotApplied][13][CategoryBInstallationsAffected]",Submission!$O:$O,Submission!$H:$N,""))</f>
        <v/>
      </c>
      <c r="I1110" s="352"/>
    </row>
    <row r="1111" spans="1:9" ht="25.95" hidden="1" customHeight="1" outlineLevel="1" x14ac:dyDescent="0.3">
      <c r="B1111" s="34"/>
      <c r="C1111" s="258" t="str">
        <f>_xlfn.CONCAT(_xlfn.XLOOKUP("[S05_CategoryBHighestTierNotApplied][14][MonitoringMethodology]",Submission!$O:$O,Submission!$H:$N,""))</f>
        <v/>
      </c>
      <c r="D1111" s="260"/>
      <c r="E1111" s="274" t="str">
        <f>_xlfn.CONCAT(_xlfn.XLOOKUP("[S05_CategoryBHighestTierNotApplied][14][CategoryBMainActivity]",Submission!$O:$O,Submission!$H:$N,""))</f>
        <v/>
      </c>
      <c r="F1111" s="369"/>
      <c r="G1111" s="259"/>
      <c r="H1111" s="351" t="str">
        <f>_xlfn.CONCAT(_xlfn.XLOOKUP("[S05_CategoryBHighestTierNotApplied][14][CategoryBInstallationsAffected]",Submission!$O:$O,Submission!$H:$N,""))</f>
        <v/>
      </c>
      <c r="I1111" s="352"/>
    </row>
    <row r="1112" spans="1:9" ht="25.95" hidden="1" customHeight="1" outlineLevel="1" x14ac:dyDescent="0.3">
      <c r="B1112" s="34"/>
      <c r="C1112" s="258" t="str">
        <f>_xlfn.CONCAT(_xlfn.XLOOKUP("[S05_CategoryBHighestTierNotApplied][15][MonitoringMethodology]",Submission!$O:$O,Submission!$H:$N,""))</f>
        <v/>
      </c>
      <c r="D1112" s="260"/>
      <c r="E1112" s="274" t="str">
        <f>_xlfn.CONCAT(_xlfn.XLOOKUP("[S05_CategoryBHighestTierNotApplied][15][CategoryBMainActivity]",Submission!$O:$O,Submission!$H:$N,""))</f>
        <v/>
      </c>
      <c r="F1112" s="369"/>
      <c r="G1112" s="259"/>
      <c r="H1112" s="351" t="str">
        <f>_xlfn.CONCAT(_xlfn.XLOOKUP("[S05_CategoryBHighestTierNotApplied][15][CategoryBInstallationsAffected]",Submission!$O:$O,Submission!$H:$N,""))</f>
        <v/>
      </c>
      <c r="I1112" s="352"/>
    </row>
    <row r="1113" spans="1:9" ht="25.95" hidden="1" customHeight="1" outlineLevel="1" x14ac:dyDescent="0.3">
      <c r="B1113" s="34"/>
      <c r="C1113" s="258" t="str">
        <f>_xlfn.CONCAT(_xlfn.XLOOKUP("[S05_CategoryBHighestTierNotApplied][16][MonitoringMethodology]",Submission!$O:$O,Submission!$H:$N,""))</f>
        <v/>
      </c>
      <c r="D1113" s="260"/>
      <c r="E1113" s="274" t="str">
        <f>_xlfn.CONCAT(_xlfn.XLOOKUP("[S05_CategoryBHighestTierNotApplied][16][CategoryBMainActivity]",Submission!$O:$O,Submission!$H:$N,""))</f>
        <v/>
      </c>
      <c r="F1113" s="369"/>
      <c r="G1113" s="259"/>
      <c r="H1113" s="351" t="str">
        <f>_xlfn.CONCAT(_xlfn.XLOOKUP("[S05_CategoryBHighestTierNotApplied][16][CategoryBInstallationsAffected]",Submission!$O:$O,Submission!$H:$N,""))</f>
        <v/>
      </c>
      <c r="I1113" s="352"/>
    </row>
    <row r="1114" spans="1:9" ht="25.95" hidden="1" customHeight="1" outlineLevel="1" x14ac:dyDescent="0.3">
      <c r="B1114" s="34"/>
      <c r="C1114" s="258" t="str">
        <f>_xlfn.CONCAT(_xlfn.XLOOKUP("[S05_CategoryBHighestTierNotApplied][17][MonitoringMethodology]",Submission!$O:$O,Submission!$H:$N,""))</f>
        <v/>
      </c>
      <c r="D1114" s="260"/>
      <c r="E1114" s="274" t="str">
        <f>_xlfn.CONCAT(_xlfn.XLOOKUP("[S05_CategoryBHighestTierNotApplied][17][CategoryBMainActivity]",Submission!$O:$O,Submission!$H:$N,""))</f>
        <v/>
      </c>
      <c r="F1114" s="369"/>
      <c r="G1114" s="259"/>
      <c r="H1114" s="351" t="str">
        <f>_xlfn.CONCAT(_xlfn.XLOOKUP("[S05_CategoryBHighestTierNotApplied][17][CategoryBInstallationsAffected]",Submission!$O:$O,Submission!$H:$N,""))</f>
        <v/>
      </c>
      <c r="I1114" s="352"/>
    </row>
    <row r="1115" spans="1:9" ht="25.95" hidden="1" customHeight="1" outlineLevel="1" x14ac:dyDescent="0.3">
      <c r="B1115" s="34"/>
      <c r="C1115" s="258" t="str">
        <f>_xlfn.CONCAT(_xlfn.XLOOKUP("[S05_CategoryBHighestTierNotApplied][18][MonitoringMethodology]",Submission!$O:$O,Submission!$H:$N,""))</f>
        <v/>
      </c>
      <c r="D1115" s="260"/>
      <c r="E1115" s="274" t="str">
        <f>_xlfn.CONCAT(_xlfn.XLOOKUP("[S05_CategoryBHighestTierNotApplied][18][CategoryBMainActivity]",Submission!$O:$O,Submission!$H:$N,""))</f>
        <v/>
      </c>
      <c r="F1115" s="369"/>
      <c r="G1115" s="259"/>
      <c r="H1115" s="351" t="str">
        <f>_xlfn.CONCAT(_xlfn.XLOOKUP("[S05_CategoryBHighestTierNotApplied][18][CategoryBInstallationsAffected]",Submission!$O:$O,Submission!$H:$N,""))</f>
        <v/>
      </c>
      <c r="I1115" s="352"/>
    </row>
    <row r="1116" spans="1:9" ht="25.95" hidden="1" customHeight="1" outlineLevel="1" x14ac:dyDescent="0.3">
      <c r="B1116" s="34"/>
      <c r="C1116" s="258" t="str">
        <f>_xlfn.CONCAT(_xlfn.XLOOKUP("[S05_CategoryBHighestTierNotApplied][19][MonitoringMethodology]",Submission!$O:$O,Submission!$H:$N,""))</f>
        <v/>
      </c>
      <c r="D1116" s="260"/>
      <c r="E1116" s="274" t="str">
        <f>_xlfn.CONCAT(_xlfn.XLOOKUP("[S05_CategoryBHighestTierNotApplied][19][CategoryBMainActivity]",Submission!$O:$O,Submission!$H:$N,""))</f>
        <v/>
      </c>
      <c r="F1116" s="369"/>
      <c r="G1116" s="259"/>
      <c r="H1116" s="351" t="str">
        <f>_xlfn.CONCAT(_xlfn.XLOOKUP("[S05_CategoryBHighestTierNotApplied][19][CategoryBInstallationsAffected]",Submission!$O:$O,Submission!$H:$N,""))</f>
        <v/>
      </c>
      <c r="I1116" s="352"/>
    </row>
    <row r="1117" spans="1:9" ht="25.95" hidden="1" customHeight="1" outlineLevel="1" x14ac:dyDescent="0.3">
      <c r="B1117" s="34"/>
      <c r="C1117" s="258" t="str">
        <f>_xlfn.CONCAT(_xlfn.XLOOKUP("[S05_CategoryBHighestTierNotApplied][20][MonitoringMethodology]",Submission!$O:$O,Submission!$H:$N,""))</f>
        <v/>
      </c>
      <c r="D1117" s="260"/>
      <c r="E1117" s="274" t="str">
        <f>_xlfn.CONCAT(_xlfn.XLOOKUP("[S05_CategoryBHighestTierNotApplied][20][CategoryBMainActivity]",Submission!$O:$O,Submission!$H:$N,""))</f>
        <v/>
      </c>
      <c r="F1117" s="369"/>
      <c r="G1117" s="259"/>
      <c r="H1117" s="351" t="str">
        <f>_xlfn.CONCAT(_xlfn.XLOOKUP("[S05_CategoryBHighestTierNotApplied][20][CategoryBInstallationsAffected]",Submission!$O:$O,Submission!$H:$N,""))</f>
        <v/>
      </c>
      <c r="I1117" s="352"/>
    </row>
    <row r="1118" spans="1:9" ht="25.95" hidden="1" customHeight="1" outlineLevel="1" x14ac:dyDescent="0.3">
      <c r="B1118" s="34"/>
      <c r="C1118" s="258" t="str">
        <f>_xlfn.CONCAT(_xlfn.XLOOKUP("[S05_CategoryBHighestTierNotApplied][21][MonitoringMethodology]",Submission!$O:$O,Submission!$H:$N,""))</f>
        <v/>
      </c>
      <c r="D1118" s="260"/>
      <c r="E1118" s="274" t="str">
        <f>_xlfn.CONCAT(_xlfn.XLOOKUP("[S05_CategoryBHighestTierNotApplied][21][CategoryBMainActivity]",Submission!$O:$O,Submission!$H:$N,""))</f>
        <v/>
      </c>
      <c r="F1118" s="369"/>
      <c r="G1118" s="259"/>
      <c r="H1118" s="351" t="str">
        <f>_xlfn.CONCAT(_xlfn.XLOOKUP("[S05_CategoryBHighestTierNotApplied][21][CategoryBInstallationsAffected]",Submission!$O:$O,Submission!$H:$N,""))</f>
        <v/>
      </c>
      <c r="I1118" s="352"/>
    </row>
    <row r="1119" spans="1:9" ht="25.95" hidden="1" customHeight="1" outlineLevel="1" x14ac:dyDescent="0.3">
      <c r="B1119" s="34"/>
      <c r="C1119" s="258" t="str">
        <f>_xlfn.CONCAT(_xlfn.XLOOKUP("[S05_CategoryBHighestTierNotApplied][22][MonitoringMethodology]",Submission!$O:$O,Submission!$H:$N,""))</f>
        <v/>
      </c>
      <c r="D1119" s="260"/>
      <c r="E1119" s="274" t="str">
        <f>_xlfn.CONCAT(_xlfn.XLOOKUP("[S05_CategoryBHighestTierNotApplied][22][CategoryBMainActivity]",Submission!$O:$O,Submission!$H:$N,""))</f>
        <v/>
      </c>
      <c r="F1119" s="369"/>
      <c r="G1119" s="259"/>
      <c r="H1119" s="351" t="str">
        <f>_xlfn.CONCAT(_xlfn.XLOOKUP("[S05_CategoryBHighestTierNotApplied][22][CategoryBInstallationsAffected]",Submission!$O:$O,Submission!$H:$N,""))</f>
        <v/>
      </c>
      <c r="I1119" s="35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79" t="s">
        <v>881</v>
      </c>
      <c r="D1121" s="279"/>
      <c r="E1121" s="279"/>
      <c r="F1121" s="279"/>
      <c r="G1121" s="279"/>
      <c r="H1121" s="279"/>
      <c r="I1121" s="279"/>
    </row>
    <row r="1122" spans="1:9" ht="16.95" customHeight="1" x14ac:dyDescent="0.3">
      <c r="A1122" s="13"/>
      <c r="C1122" s="279" t="s">
        <v>882</v>
      </c>
      <c r="D1122" s="279"/>
      <c r="E1122" s="279"/>
      <c r="F1122" s="279"/>
      <c r="G1122" s="279"/>
      <c r="H1122" s="279"/>
      <c r="I1122" s="279"/>
    </row>
    <row r="1123" spans="1:9" ht="16.95" customHeight="1" x14ac:dyDescent="0.3">
      <c r="A1123" s="13"/>
      <c r="C1123" s="99"/>
      <c r="D1123" s="99"/>
      <c r="E1123" s="99"/>
      <c r="F1123" s="99"/>
      <c r="G1123" s="99"/>
      <c r="H1123" s="99"/>
      <c r="I1123" s="99"/>
    </row>
    <row r="1124" spans="1:9" ht="35.25" customHeight="1" x14ac:dyDescent="0.3">
      <c r="A1124" s="12" t="s">
        <v>259</v>
      </c>
      <c r="B1124" s="338" t="s">
        <v>883</v>
      </c>
      <c r="C1124" s="308"/>
      <c r="D1124" s="308"/>
      <c r="E1124" s="308"/>
      <c r="F1124" s="308"/>
      <c r="G1124" s="308"/>
      <c r="H1124" s="345"/>
      <c r="I1124" s="41" t="str">
        <f>_xlfn.CONCAT(_xlfn.XLOOKUP("[FallBackApproachApplied][0][FallBackApproachApplied]",Submission!$O:$O,Submission!$H:$N,""))</f>
        <v>Yes</v>
      </c>
    </row>
    <row r="1125" spans="1:9" ht="20.399999999999999" customHeight="1" x14ac:dyDescent="0.3">
      <c r="A1125" s="12"/>
      <c r="B1125" s="275" t="s">
        <v>884</v>
      </c>
      <c r="C1125" s="276"/>
      <c r="D1125" s="276"/>
      <c r="E1125" s="276"/>
      <c r="F1125" s="276"/>
      <c r="G1125" s="276"/>
      <c r="H1125" s="276"/>
      <c r="I1125" s="276"/>
    </row>
    <row r="1126" spans="1:9" ht="32.4" customHeight="1" x14ac:dyDescent="0.3">
      <c r="A1126" s="12"/>
      <c r="B1126" s="34"/>
      <c r="C1126" s="46" t="s">
        <v>869</v>
      </c>
      <c r="D1126" s="317" t="s">
        <v>885</v>
      </c>
      <c r="E1126" s="370"/>
      <c r="F1126" s="370"/>
      <c r="G1126" s="318"/>
      <c r="H1126" s="46" t="s">
        <v>886</v>
      </c>
      <c r="I1126" s="46" t="s">
        <v>887</v>
      </c>
    </row>
    <row r="1127" spans="1:9" s="58" customFormat="1" ht="27.75" customHeight="1" x14ac:dyDescent="0.3">
      <c r="A1127" s="57"/>
      <c r="B1127" s="74"/>
      <c r="C1127" s="72" t="str">
        <f>_xlfn.CONCAT(_xlfn.XLOOKUP("[S05_FallBackApproachAppliedDetail][1][FallbackInstallationID]",Submission!$O:$O,Submission!$H:$N,""))</f>
        <v>CZ-92</v>
      </c>
      <c r="D1127" s="258" t="str">
        <f>_xlfn.CONCAT(_xlfn.XLOOKUP("[S05_FallBackApproachAppliedDetail][1][FallBackReason]",Submission!$O:$O,Submission!$H:$N,""))</f>
        <v>Applying tier 1 is technically infeasible or leads to unreasonable costs for one major source stream</v>
      </c>
      <c r="E1127" s="353"/>
      <c r="F1127" s="353"/>
      <c r="G1127" s="260"/>
      <c r="H1127" s="72" t="str">
        <f>_xlfn.CONCAT(_xlfn.XLOOKUP("[S05_FallBackApproachAppliedDetail][1][ParameterNotTier1]",Submission!$O:$O,Submission!$H:$N,""))</f>
        <v>Carbon content</v>
      </c>
      <c r="I1127" s="124" t="str">
        <f>_xlfn.CONCAT(_xlfn.XLOOKUP("[S05_FallBackApproachAppliedDetail][1][ParameterEmissions]",Submission!$O:$O,Submission!$H:$N,""))</f>
        <v>827079.129582198</v>
      </c>
    </row>
    <row r="1128" spans="1:9" s="58" customFormat="1" ht="27.75" customHeight="1" x14ac:dyDescent="0.3">
      <c r="A1128" s="57"/>
      <c r="B1128" s="74"/>
      <c r="C1128" s="72" t="str">
        <f>_xlfn.CONCAT(_xlfn.XLOOKUP("[S05_FallBackApproachAppliedDetail][2][FallbackInstallationID]",Submission!$O:$O,Submission!$H:$N,""))</f>
        <v/>
      </c>
      <c r="D1128" s="258" t="str">
        <f>_xlfn.CONCAT(_xlfn.XLOOKUP("[S05_FallBackApproachAppliedDetail][2][FallBackReason]",Submission!$O:$O,Submission!$H:$N,""))</f>
        <v/>
      </c>
      <c r="E1128" s="353"/>
      <c r="F1128" s="353"/>
      <c r="G1128" s="260"/>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58" t="str">
        <f>_xlfn.CONCAT(_xlfn.XLOOKUP("[S05_FallBackApproachAppliedDetail][3][FallBackReason]",Submission!$O:$O,Submission!$H:$N,""))</f>
        <v/>
      </c>
      <c r="E1129" s="353"/>
      <c r="F1129" s="353"/>
      <c r="G1129" s="260"/>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58" t="str">
        <f>_xlfn.CONCAT(_xlfn.XLOOKUP("[S05_FallBackApproachAppliedDetail][4][FallBackReason]",Submission!$O:$O,Submission!$H:$N,""))</f>
        <v/>
      </c>
      <c r="E1130" s="353"/>
      <c r="F1130" s="353"/>
      <c r="G1130" s="260"/>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58" t="str">
        <f>_xlfn.CONCAT(_xlfn.XLOOKUP("[S05_FallBackApproachAppliedDetail][5][FallBackReason]",Submission!$O:$O,Submission!$H:$N,""))</f>
        <v/>
      </c>
      <c r="E1131" s="353"/>
      <c r="F1131" s="353"/>
      <c r="G1131" s="260"/>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58" t="str">
        <f>_xlfn.CONCAT(_xlfn.XLOOKUP("[S05_FallBackApproachAppliedDetail][6][FallBackReason]",Submission!$O:$O,Submission!$H:$N,""))</f>
        <v/>
      </c>
      <c r="E1132" s="353"/>
      <c r="F1132" s="353"/>
      <c r="G1132" s="260"/>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58" t="str">
        <f>_xlfn.CONCAT(_xlfn.XLOOKUP("[S05_FallBackApproachAppliedDetail][7][FallBackReason]",Submission!$O:$O,Submission!$H:$N,""))</f>
        <v/>
      </c>
      <c r="E1133" s="353"/>
      <c r="F1133" s="353"/>
      <c r="G1133" s="260"/>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58" t="str">
        <f>_xlfn.CONCAT(_xlfn.XLOOKUP("[S05_FallBackApproachAppliedDetail][8][FallBackReason]",Submission!$O:$O,Submission!$H:$N,""))</f>
        <v/>
      </c>
      <c r="E1134" s="353"/>
      <c r="F1134" s="353"/>
      <c r="G1134" s="260"/>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58" t="str">
        <f>_xlfn.CONCAT(_xlfn.XLOOKUP("[S05_FallBackApproachAppliedDetail][9][FallBackReason]",Submission!$O:$O,Submission!$H:$N,""))</f>
        <v/>
      </c>
      <c r="E1135" s="353"/>
      <c r="F1135" s="353"/>
      <c r="G1135" s="260"/>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58" t="str">
        <f>_xlfn.CONCAT(_xlfn.XLOOKUP("[S05_FallBackApproachAppliedDetail][10][FallBackReason]",Submission!$O:$O,Submission!$H:$N,""))</f>
        <v/>
      </c>
      <c r="E1136" s="353"/>
      <c r="F1136" s="353"/>
      <c r="G1136" s="260"/>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58" t="s">
        <v>888</v>
      </c>
      <c r="D1138" s="359"/>
      <c r="E1138" s="359"/>
      <c r="F1138" s="359"/>
      <c r="G1138" s="359"/>
      <c r="H1138" s="359"/>
      <c r="I1138" s="359"/>
    </row>
    <row r="1139" spans="1:9" ht="73.2" customHeight="1" x14ac:dyDescent="0.3">
      <c r="A1139" s="12"/>
      <c r="B1139" s="16"/>
      <c r="C1139" s="358" t="s">
        <v>889</v>
      </c>
      <c r="D1139" s="358"/>
      <c r="E1139" s="358"/>
      <c r="F1139" s="358"/>
      <c r="G1139" s="358"/>
      <c r="H1139" s="358"/>
      <c r="I1139" s="358"/>
    </row>
    <row r="1140" spans="1:9" ht="28.95" customHeight="1" x14ac:dyDescent="0.3">
      <c r="A1140" s="12"/>
      <c r="B1140" s="16"/>
      <c r="C1140" s="358" t="s">
        <v>2225</v>
      </c>
      <c r="D1140" s="358"/>
      <c r="E1140" s="358"/>
      <c r="F1140" s="358"/>
      <c r="G1140" s="358"/>
      <c r="H1140" s="358"/>
      <c r="I1140" s="358"/>
    </row>
    <row r="1141" spans="1:9" ht="15.9" customHeight="1" x14ac:dyDescent="0.3">
      <c r="A1141" s="12"/>
    </row>
    <row r="1142" spans="1:9" ht="35.4" customHeight="1" x14ac:dyDescent="0.3">
      <c r="A1142" s="12" t="s">
        <v>266</v>
      </c>
      <c r="B1142" s="338" t="s">
        <v>890</v>
      </c>
      <c r="C1142" s="308"/>
      <c r="D1142" s="308"/>
      <c r="E1142" s="308"/>
      <c r="F1142" s="308"/>
      <c r="G1142" s="308"/>
      <c r="H1142" s="308"/>
      <c r="I1142" s="308"/>
    </row>
    <row r="1143" spans="1:9" ht="44.4" customHeight="1" x14ac:dyDescent="0.3">
      <c r="A1143" s="12"/>
      <c r="C1143" s="42" t="s">
        <v>891</v>
      </c>
      <c r="D1143" s="314" t="s">
        <v>879</v>
      </c>
      <c r="E1143" s="316"/>
      <c r="F1143" s="314" t="s">
        <v>892</v>
      </c>
      <c r="G1143" s="316"/>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74" t="str">
        <f>_xlfn.CONCAT(_xlfn.XLOOKUP("[S05_ImprovementReportArt69]["&amp;ROW(B1144)-ROW($B$1143)&amp;"][Annex1Activity]",Submission!$O:$O,Submission!$H:$N,""))</f>
        <v>20 - Combustion of fuels as specified in Annex I of Directive 2003/87/EC</v>
      </c>
      <c r="E1144" s="364"/>
      <c r="F1144" s="258" t="str">
        <f>_xlfn.CONCAT(_xlfn.XLOOKUP("[S05_ImprovementReportArt69]["&amp;ROW(B1144)-ROW($B$1143)&amp;"][ImprovementReportType]",Submission!$O:$O,Submission!$H:$N,""))</f>
        <v>Improvement report in accordance with Article 69(1)</v>
      </c>
      <c r="G1144" s="259"/>
      <c r="H1144" s="124" t="str">
        <f>_xlfn.CONCAT(_xlfn.XLOOKUP("[S05_ImprovementReportArt69]["&amp;ROW(B1144)-ROW($B$1143)&amp;"][ImprovementReportRequired]",Submission!$O:$O,Submission!$H:$N,""))</f>
        <v>2</v>
      </c>
      <c r="I1144" s="124" t="str">
        <f>_xlfn.CONCAT(_xlfn.XLOOKUP("[S05_ImprovementReportArt69]["&amp;ROW(B1144)-ROW($B$1143)&amp;"][ImprovementReportSubmitted]",Submission!$O:$O,Submission!$H:$N,""))</f>
        <v>2</v>
      </c>
    </row>
    <row r="1145" spans="1:9" ht="27" customHeight="1" x14ac:dyDescent="0.3">
      <c r="A1145" s="12"/>
      <c r="C1145" s="47" t="str">
        <f>_xlfn.CONCAT(_xlfn.XLOOKUP("[S05_ImprovementReportArt69]["&amp;ROW(B1145)-ROW($B$1143)&amp;"][InstallationCategory]",Submission!$O:$O,Submission!$H:$N,""))</f>
        <v>Category B</v>
      </c>
      <c r="D1145" s="274" t="str">
        <f>_xlfn.CONCAT(_xlfn.XLOOKUP("[S05_ImprovementReportArt69]["&amp;ROW(B1145)-ROW($B$1143)&amp;"][Annex1Activity]",Submission!$O:$O,Submission!$H:$N,""))</f>
        <v>20 - Combustion of fuels as specified in Annex I of Directive 2003/87/EC</v>
      </c>
      <c r="E1145" s="364"/>
      <c r="F1145" s="258" t="str">
        <f>_xlfn.CONCAT(_xlfn.XLOOKUP("[S05_ImprovementReportArt69]["&amp;ROW(B1145)-ROW($B$1143)&amp;"][ImprovementReportType]",Submission!$O:$O,Submission!$H:$N,""))</f>
        <v>Improvement report in accordance with Article 69(1)</v>
      </c>
      <c r="G1145" s="259"/>
      <c r="H1145" s="124" t="str">
        <f>_xlfn.CONCAT(_xlfn.XLOOKUP("[S05_ImprovementReportArt69]["&amp;ROW(B1145)-ROW($B$1143)&amp;"][ImprovementReportRequired]",Submission!$O:$O,Submission!$H:$N,""))</f>
        <v>2</v>
      </c>
      <c r="I1145" s="124" t="str">
        <f>_xlfn.CONCAT(_xlfn.XLOOKUP("[S05_ImprovementReportArt69]["&amp;ROW(B1145)-ROW($B$1143)&amp;"][ImprovementReportSubmitted]",Submission!$O:$O,Submission!$H:$N,""))</f>
        <v>2</v>
      </c>
    </row>
    <row r="1146" spans="1:9" ht="27" customHeight="1" x14ac:dyDescent="0.3">
      <c r="A1146" s="12"/>
      <c r="C1146" s="47" t="str">
        <f>_xlfn.CONCAT(_xlfn.XLOOKUP("[S05_ImprovementReportArt69]["&amp;ROW(B1146)-ROW($B$1143)&amp;"][InstallationCategory]",Submission!$O:$O,Submission!$H:$N,""))</f>
        <v>Category C</v>
      </c>
      <c r="D1146" s="274" t="str">
        <f>_xlfn.CONCAT(_xlfn.XLOOKUP("[S05_ImprovementReportArt69]["&amp;ROW(B1146)-ROW($B$1143)&amp;"][Annex1Activity]",Submission!$O:$O,Submission!$H:$N,""))</f>
        <v>20 - Combustion of fuels as specified in Annex I of Directive 2003/87/EC</v>
      </c>
      <c r="E1146" s="364"/>
      <c r="F1146" s="258" t="str">
        <f>_xlfn.CONCAT(_xlfn.XLOOKUP("[S05_ImprovementReportArt69]["&amp;ROW(B1146)-ROW($B$1143)&amp;"][ImprovementReportType]",Submission!$O:$O,Submission!$H:$N,""))</f>
        <v>Improvement report in accordance with Article 69(1)</v>
      </c>
      <c r="G1146" s="259"/>
      <c r="H1146" s="124" t="str">
        <f>_xlfn.CONCAT(_xlfn.XLOOKUP("[S05_ImprovementReportArt69]["&amp;ROW(B1146)-ROW($B$1143)&amp;"][ImprovementReportRequired]",Submission!$O:$O,Submission!$H:$N,""))</f>
        <v>12</v>
      </c>
      <c r="I1146" s="124" t="str">
        <f>_xlfn.CONCAT(_xlfn.XLOOKUP("[S05_ImprovementReportArt69]["&amp;ROW(B1146)-ROW($B$1143)&amp;"][ImprovementReportSubmitted]",Submission!$O:$O,Submission!$H:$N,""))</f>
        <v>12</v>
      </c>
    </row>
    <row r="1147" spans="1:9" ht="27" customHeight="1" x14ac:dyDescent="0.3">
      <c r="A1147" s="12"/>
      <c r="C1147" s="47" t="str">
        <f>_xlfn.CONCAT(_xlfn.XLOOKUP("[S05_ImprovementReportArt69]["&amp;ROW(B1147)-ROW($B$1143)&amp;"][InstallationCategory]",Submission!$O:$O,Submission!$H:$N,""))</f>
        <v>Category B</v>
      </c>
      <c r="D1147" s="274" t="str">
        <f>_xlfn.CONCAT(_xlfn.XLOOKUP("[S05_ImprovementReportArt69]["&amp;ROW(B1147)-ROW($B$1143)&amp;"][Annex1Activity]",Submission!$O:$O,Submission!$H:$N,""))</f>
        <v>20 - Combustion of fuels as specified in Annex I of Directive 2003/87/EC</v>
      </c>
      <c r="E1147" s="364"/>
      <c r="F1147" s="258" t="str">
        <f>_xlfn.CONCAT(_xlfn.XLOOKUP("[S05_ImprovementReportArt69]["&amp;ROW(B1147)-ROW($B$1143)&amp;"][ImprovementReportType]",Submission!$O:$O,Submission!$H:$N,""))</f>
        <v>Improvement report according to Article 69(4)</v>
      </c>
      <c r="G1147" s="259"/>
      <c r="H1147" s="124" t="str">
        <f>_xlfn.CONCAT(_xlfn.XLOOKUP("[S05_ImprovementReportArt69]["&amp;ROW(B1147)-ROW($B$1143)&amp;"][ImprovementReportRequired]",Submission!$O:$O,Submission!$H:$N,""))</f>
        <v>3</v>
      </c>
      <c r="I1147" s="124" t="str">
        <f>_xlfn.CONCAT(_xlfn.XLOOKUP("[S05_ImprovementReportArt69]["&amp;ROW(B1147)-ROW($B$1143)&amp;"][ImprovementReportSubmitted]",Submission!$O:$O,Submission!$H:$N,""))</f>
        <v>1</v>
      </c>
    </row>
    <row r="1148" spans="1:9" ht="27" customHeight="1" x14ac:dyDescent="0.3">
      <c r="A1148" s="12"/>
      <c r="C1148" s="47" t="str">
        <f>_xlfn.CONCAT(_xlfn.XLOOKUP("[S05_ImprovementReportArt69]["&amp;ROW(B1148)-ROW($B$1143)&amp;"][InstallationCategory]",Submission!$O:$O,Submission!$H:$N,""))</f>
        <v>Category C</v>
      </c>
      <c r="D1148" s="274" t="str">
        <f>_xlfn.CONCAT(_xlfn.XLOOKUP("[S05_ImprovementReportArt69]["&amp;ROW(B1148)-ROW($B$1143)&amp;"][Annex1Activity]",Submission!$O:$O,Submission!$H:$N,""))</f>
        <v>20 - Combustion of fuels as specified in Annex I of Directive 2003/87/EC</v>
      </c>
      <c r="E1148" s="364"/>
      <c r="F1148" s="258" t="str">
        <f>_xlfn.CONCAT(_xlfn.XLOOKUP("[S05_ImprovementReportArt69]["&amp;ROW(B1148)-ROW($B$1143)&amp;"][ImprovementReportType]",Submission!$O:$O,Submission!$H:$N,""))</f>
        <v>Improvement report according to Article 69(4)</v>
      </c>
      <c r="G1148" s="259"/>
      <c r="H1148" s="124" t="str">
        <f>_xlfn.CONCAT(_xlfn.XLOOKUP("[S05_ImprovementReportArt69]["&amp;ROW(B1148)-ROW($B$1143)&amp;"][ImprovementReportRequired]",Submission!$O:$O,Submission!$H:$N,""))</f>
        <v>2</v>
      </c>
      <c r="I1148" s="124" t="str">
        <f>_xlfn.CONCAT(_xlfn.XLOOKUP("[S05_ImprovementReportArt69]["&amp;ROW(B1148)-ROW($B$1143)&amp;"][ImprovementReportSubmitted]",Submission!$O:$O,Submission!$H:$N,""))</f>
        <v>1</v>
      </c>
    </row>
    <row r="1149" spans="1:9" ht="27" customHeight="1" x14ac:dyDescent="0.3">
      <c r="A1149" s="12"/>
      <c r="C1149" s="47" t="str">
        <f>_xlfn.CONCAT(_xlfn.XLOOKUP("[S05_ImprovementReportArt69]["&amp;ROW(B1149)-ROW($B$1143)&amp;"][InstallationCategory]",Submission!$O:$O,Submission!$H:$N,""))</f>
        <v>Category C</v>
      </c>
      <c r="D1149" s="274" t="str">
        <f>_xlfn.CONCAT(_xlfn.XLOOKUP("[S05_ImprovementReportArt69]["&amp;ROW(B1149)-ROW($B$1143)&amp;"][Annex1Activity]",Submission!$O:$O,Submission!$H:$N,""))</f>
        <v>29 - Production of cement clinker in rotary kilns as specified in Annex I of Directive 2003/87/ EC</v>
      </c>
      <c r="E1149" s="364"/>
      <c r="F1149" s="258" t="str">
        <f>_xlfn.CONCAT(_xlfn.XLOOKUP("[S05_ImprovementReportArt69]["&amp;ROW(B1149)-ROW($B$1143)&amp;"][ImprovementReportType]",Submission!$O:$O,Submission!$H:$N,""))</f>
        <v>Improvement report according to Article 69(4)</v>
      </c>
      <c r="G1149" s="259"/>
      <c r="H1149" s="124" t="str">
        <f>_xlfn.CONCAT(_xlfn.XLOOKUP("[S05_ImprovementReportArt69]["&amp;ROW(B1149)-ROW($B$1143)&amp;"][ImprovementReportRequired]",Submission!$O:$O,Submission!$H:$N,""))</f>
        <v>3</v>
      </c>
      <c r="I1149" s="124" t="str">
        <f>_xlfn.CONCAT(_xlfn.XLOOKUP("[S05_ImprovementReportArt69]["&amp;ROW(B1149)-ROW($B$1143)&amp;"][ImprovementReportSubmitted]",Submission!$O:$O,Submission!$H:$N,""))</f>
        <v>3</v>
      </c>
    </row>
    <row r="1150" spans="1:9" ht="27" customHeight="1" x14ac:dyDescent="0.3">
      <c r="A1150" s="12"/>
      <c r="C1150" s="47" t="str">
        <f>_xlfn.CONCAT(_xlfn.XLOOKUP("[S05_ImprovementReportArt69]["&amp;ROW(B1150)-ROW($B$1143)&amp;"][InstallationCategory]",Submission!$O:$O,Submission!$H:$N,""))</f>
        <v>Category C</v>
      </c>
      <c r="D1150" s="274" t="str">
        <f>_xlfn.CONCAT(_xlfn.XLOOKUP("[S05_ImprovementReportArt69]["&amp;ROW(B1150)-ROW($B$1143)&amp;"][Annex1Activity]",Submission!$O:$O,Submission!$H:$N,""))</f>
        <v xml:space="preserve">43 - Production of hydrogen (H2) and synthesis gas as specified in Annex I of Directive 2003/87/EC </v>
      </c>
      <c r="E1150" s="364"/>
      <c r="F1150" s="258" t="str">
        <f>_xlfn.CONCAT(_xlfn.XLOOKUP("[S05_ImprovementReportArt69]["&amp;ROW(B1150)-ROW($B$1143)&amp;"][ImprovementReportType]",Submission!$O:$O,Submission!$H:$N,""))</f>
        <v>Improvement report according to Article 69(4)</v>
      </c>
      <c r="G1150" s="259"/>
      <c r="H1150" s="124" t="str">
        <f>_xlfn.CONCAT(_xlfn.XLOOKUP("[S05_ImprovementReportArt69]["&amp;ROW(B1150)-ROW($B$1143)&amp;"][ImprovementReportRequired]",Submission!$O:$O,Submission!$H:$N,""))</f>
        <v>1</v>
      </c>
      <c r="I1150" s="124" t="str">
        <f>_xlfn.CONCAT(_xlfn.XLOOKUP("[S05_ImprovementReportArt69]["&amp;ROW(B1150)-ROW($B$1143)&amp;"][ImprovementReportSubmitted]",Submission!$O:$O,Submission!$H:$N,""))</f>
        <v>1</v>
      </c>
    </row>
    <row r="1151" spans="1:9" ht="27" customHeight="1" x14ac:dyDescent="0.3">
      <c r="A1151" s="12"/>
      <c r="C1151" s="47" t="str">
        <f>_xlfn.CONCAT(_xlfn.XLOOKUP("[S05_ImprovementReportArt69]["&amp;ROW(B1151)-ROW($B$1143)&amp;"][InstallationCategory]",Submission!$O:$O,Submission!$H:$N,""))</f>
        <v>Category C</v>
      </c>
      <c r="D1151" s="274" t="str">
        <f>_xlfn.CONCAT(_xlfn.XLOOKUP("[S05_ImprovementReportArt69]["&amp;ROW(B1151)-ROW($B$1143)&amp;"][Annex1Activity]",Submission!$O:$O,Submission!$H:$N,""))</f>
        <v xml:space="preserve">42 - Production of bulk organic chemicals as specified in Annex I of Directive 2003/87/EC </v>
      </c>
      <c r="E1151" s="364"/>
      <c r="F1151" s="258" t="str">
        <f>_xlfn.CONCAT(_xlfn.XLOOKUP("[S05_ImprovementReportArt69]["&amp;ROW(B1151)-ROW($B$1143)&amp;"][ImprovementReportType]",Submission!$O:$O,Submission!$H:$N,""))</f>
        <v>Improvement report according to Article 69(4)</v>
      </c>
      <c r="G1151" s="259"/>
      <c r="H1151" s="124" t="str">
        <f>_xlfn.CONCAT(_xlfn.XLOOKUP("[S05_ImprovementReportArt69]["&amp;ROW(B1151)-ROW($B$1143)&amp;"][ImprovementReportRequired]",Submission!$O:$O,Submission!$H:$N,""))</f>
        <v>1</v>
      </c>
      <c r="I1151" s="124" t="str">
        <f>_xlfn.CONCAT(_xlfn.XLOOKUP("[S05_ImprovementReportArt69]["&amp;ROW(B1151)-ROW($B$1143)&amp;"][ImprovementReportSubmitted]",Submission!$O:$O,Submission!$H:$N,""))</f>
        <v>1</v>
      </c>
    </row>
    <row r="1152" spans="1:9" ht="27" customHeight="1" x14ac:dyDescent="0.3">
      <c r="A1152" s="12"/>
      <c r="C1152" s="47" t="str">
        <f>_xlfn.CONCAT(_xlfn.XLOOKUP("[S05_ImprovementReportArt69]["&amp;ROW(B1152)-ROW($B$1143)&amp;"][InstallationCategory]",Submission!$O:$O,Submission!$H:$N,""))</f>
        <v>Category C</v>
      </c>
      <c r="D1152" s="274" t="str">
        <f>_xlfn.CONCAT(_xlfn.XLOOKUP("[S05_ImprovementReportArt69]["&amp;ROW(B1152)-ROW($B$1143)&amp;"][Annex1Activity]",Submission!$O:$O,Submission!$H:$N,""))</f>
        <v>24 - Production of pig iron or steel as specified in Annex I of Directive 2003/87/EC</v>
      </c>
      <c r="E1152" s="364"/>
      <c r="F1152" s="258" t="str">
        <f>_xlfn.CONCAT(_xlfn.XLOOKUP("[S05_ImprovementReportArt69]["&amp;ROW(B1152)-ROW($B$1143)&amp;"][ImprovementReportType]",Submission!$O:$O,Submission!$H:$N,""))</f>
        <v>Improvement report according to Article 69(4)</v>
      </c>
      <c r="G1152" s="259"/>
      <c r="H1152" s="124" t="str">
        <f>_xlfn.CONCAT(_xlfn.XLOOKUP("[S05_ImprovementReportArt69]["&amp;ROW(B1152)-ROW($B$1143)&amp;"][ImprovementReportRequired]",Submission!$O:$O,Submission!$H:$N,""))</f>
        <v>1</v>
      </c>
      <c r="I1152" s="124" t="str">
        <f>_xlfn.CONCAT(_xlfn.XLOOKUP("[S05_ImprovementReportArt69]["&amp;ROW(B1152)-ROW($B$1143)&amp;"][ImprovementReportSubmitted]",Submission!$O:$O,Submission!$H:$N,""))</f>
        <v>0</v>
      </c>
    </row>
    <row r="1153" spans="1:9" ht="27" customHeight="1" x14ac:dyDescent="0.3">
      <c r="A1153" s="12"/>
      <c r="C1153" s="47" t="str">
        <f>_xlfn.CONCAT(_xlfn.XLOOKUP("[S05_ImprovementReportArt69]["&amp;ROW(B1153)-ROW($B$1143)&amp;"][InstallationCategory]",Submission!$O:$O,Submission!$H:$N,""))</f>
        <v/>
      </c>
      <c r="D1153" s="274" t="str">
        <f>_xlfn.CONCAT(_xlfn.XLOOKUP("[S05_ImprovementReportArt69]["&amp;ROW(B1153)-ROW($B$1143)&amp;"][Annex1Activity]",Submission!$O:$O,Submission!$H:$N,""))</f>
        <v/>
      </c>
      <c r="E1153" s="364"/>
      <c r="F1153" s="258" t="str">
        <f>_xlfn.CONCAT(_xlfn.XLOOKUP("[S05_ImprovementReportArt69]["&amp;ROW(B1153)-ROW($B$1143)&amp;"][ImprovementReportType]",Submission!$O:$O,Submission!$H:$N,""))</f>
        <v/>
      </c>
      <c r="G1153" s="259"/>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74" t="str">
        <f>_xlfn.CONCAT(_xlfn.XLOOKUP("[S05_ImprovementReportArt69]["&amp;ROW(B1154)-ROW($B$1143)&amp;"][Annex1Activity]",Submission!$O:$O,Submission!$H:$N,""))</f>
        <v/>
      </c>
      <c r="E1154" s="364"/>
      <c r="F1154" s="258" t="str">
        <f>_xlfn.CONCAT(_xlfn.XLOOKUP("[S05_ImprovementReportArt69]["&amp;ROW(B1154)-ROW($B$1143)&amp;"][ImprovementReportType]",Submission!$O:$O,Submission!$H:$N,""))</f>
        <v/>
      </c>
      <c r="G1154" s="259"/>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74" t="str">
        <f>_xlfn.CONCAT(_xlfn.XLOOKUP("[S05_ImprovementReportArt69]["&amp;ROW(B1155)-ROW($B$1143)&amp;"][Annex1Activity]",Submission!$O:$O,Submission!$H:$N,""))</f>
        <v/>
      </c>
      <c r="E1155" s="364"/>
      <c r="F1155" s="258" t="str">
        <f>_xlfn.CONCAT(_xlfn.XLOOKUP("[S05_ImprovementReportArt69]["&amp;ROW(B1155)-ROW($B$1143)&amp;"][ImprovementReportType]",Submission!$O:$O,Submission!$H:$N,""))</f>
        <v/>
      </c>
      <c r="G1155" s="259"/>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74" t="str">
        <f>_xlfn.CONCAT(_xlfn.XLOOKUP("[S05_ImprovementReportArt69]["&amp;ROW(B1156)-ROW($B$1143)&amp;"][Annex1Activity]",Submission!$O:$O,Submission!$H:$N,""))</f>
        <v/>
      </c>
      <c r="E1156" s="364"/>
      <c r="F1156" s="258" t="str">
        <f>_xlfn.CONCAT(_xlfn.XLOOKUP("[S05_ImprovementReportArt69]["&amp;ROW(B1156)-ROW($B$1143)&amp;"][ImprovementReportType]",Submission!$O:$O,Submission!$H:$N,""))</f>
        <v/>
      </c>
      <c r="G1156" s="259"/>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74" t="str">
        <f>_xlfn.CONCAT(_xlfn.XLOOKUP("[S05_ImprovementReportArt69]["&amp;ROW(B1157)-ROW($B$1143)&amp;"][Annex1Activity]",Submission!$O:$O,Submission!$H:$N,""))</f>
        <v/>
      </c>
      <c r="E1157" s="364"/>
      <c r="F1157" s="258" t="str">
        <f>_xlfn.CONCAT(_xlfn.XLOOKUP("[S05_ImprovementReportArt69]["&amp;ROW(B1157)-ROW($B$1143)&amp;"][ImprovementReportType]",Submission!$O:$O,Submission!$H:$N,""))</f>
        <v/>
      </c>
      <c r="G1157" s="259"/>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74" t="str">
        <f>_xlfn.CONCAT(_xlfn.XLOOKUP("[S05_ImprovementReportArt69]["&amp;ROW(B1158)-ROW($B$1143)&amp;"][Annex1Activity]",Submission!$O:$O,Submission!$H:$N,""))</f>
        <v/>
      </c>
      <c r="E1158" s="364"/>
      <c r="F1158" s="258" t="str">
        <f>_xlfn.CONCAT(_xlfn.XLOOKUP("[S05_ImprovementReportArt69]["&amp;ROW(B1158)-ROW($B$1143)&amp;"][ImprovementReportType]",Submission!$O:$O,Submission!$H:$N,""))</f>
        <v/>
      </c>
      <c r="G1158" s="259"/>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74" t="str">
        <f>_xlfn.CONCAT(_xlfn.XLOOKUP("[S05_ImprovementReportArt69]["&amp;ROW(B1159)-ROW($B$1143)&amp;"][Annex1Activity]",Submission!$O:$O,Submission!$H:$N,""))</f>
        <v/>
      </c>
      <c r="E1159" s="364"/>
      <c r="F1159" s="258" t="str">
        <f>_xlfn.CONCAT(_xlfn.XLOOKUP("[S05_ImprovementReportArt69]["&amp;ROW(B1159)-ROW($B$1143)&amp;"][ImprovementReportType]",Submission!$O:$O,Submission!$H:$N,""))</f>
        <v/>
      </c>
      <c r="G1159" s="259"/>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74" t="str">
        <f>_xlfn.CONCAT(_xlfn.XLOOKUP("[S05_ImprovementReportArt69]["&amp;ROW(B1160)-ROW($B$1143)&amp;"][Annex1Activity]",Submission!$O:$O,Submission!$H:$N,""))</f>
        <v/>
      </c>
      <c r="E1160" s="364"/>
      <c r="F1160" s="258" t="str">
        <f>_xlfn.CONCAT(_xlfn.XLOOKUP("[S05_ImprovementReportArt69]["&amp;ROW(B1160)-ROW($B$1143)&amp;"][ImprovementReportType]",Submission!$O:$O,Submission!$H:$N,""))</f>
        <v/>
      </c>
      <c r="G1160" s="259"/>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74" t="str">
        <f>_xlfn.CONCAT(_xlfn.XLOOKUP("[S05_ImprovementReportArt69]["&amp;ROW(B1161)-ROW($B$1143)&amp;"][Annex1Activity]",Submission!$O:$O,Submission!$H:$N,""))</f>
        <v/>
      </c>
      <c r="E1161" s="364"/>
      <c r="F1161" s="258" t="str">
        <f>_xlfn.CONCAT(_xlfn.XLOOKUP("[S05_ImprovementReportArt69]["&amp;ROW(B1161)-ROW($B$1143)&amp;"][ImprovementReportType]",Submission!$O:$O,Submission!$H:$N,""))</f>
        <v/>
      </c>
      <c r="G1161" s="259"/>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74" t="str">
        <f>_xlfn.CONCAT(_xlfn.XLOOKUP("[S05_ImprovementReportArt69]["&amp;ROW(B1162)-ROW($B$1143)&amp;"][Annex1Activity]",Submission!$O:$O,Submission!$H:$N,""))</f>
        <v/>
      </c>
      <c r="E1162" s="364"/>
      <c r="F1162" s="258" t="str">
        <f>_xlfn.CONCAT(_xlfn.XLOOKUP("[S05_ImprovementReportArt69]["&amp;ROW(B1162)-ROW($B$1143)&amp;"][ImprovementReportType]",Submission!$O:$O,Submission!$H:$N,""))</f>
        <v/>
      </c>
      <c r="G1162" s="259"/>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74" t="str">
        <f>_xlfn.CONCAT(_xlfn.XLOOKUP("[S05_ImprovementReportArt69]["&amp;ROW(B1163)-ROW($B$1143)&amp;"][Annex1Activity]",Submission!$O:$O,Submission!$H:$N,""))</f>
        <v/>
      </c>
      <c r="E1163" s="364"/>
      <c r="F1163" s="258" t="str">
        <f>_xlfn.CONCAT(_xlfn.XLOOKUP("[S05_ImprovementReportArt69]["&amp;ROW(B1163)-ROW($B$1143)&amp;"][ImprovementReportType]",Submission!$O:$O,Submission!$H:$N,""))</f>
        <v/>
      </c>
      <c r="G1163" s="259"/>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74" t="str">
        <f>_xlfn.CONCAT(_xlfn.XLOOKUP("[S05_ImprovementReportArt69]["&amp;ROW(B1164)-ROW($B$1143)&amp;"][Annex1Activity]",Submission!$O:$O,Submission!$H:$N,""))</f>
        <v/>
      </c>
      <c r="E1164" s="364"/>
      <c r="F1164" s="258" t="str">
        <f>_xlfn.CONCAT(_xlfn.XLOOKUP("[S05_ImprovementReportArt69]["&amp;ROW(B1164)-ROW($B$1143)&amp;"][ImprovementReportType]",Submission!$O:$O,Submission!$H:$N,""))</f>
        <v/>
      </c>
      <c r="G1164" s="259"/>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74" t="str">
        <f>_xlfn.CONCAT(_xlfn.XLOOKUP("[S05_ImprovementReportArt69]["&amp;ROW(B1165)-ROW($B$1143)&amp;"][Annex1Activity]",Submission!$O:$O,Submission!$H:$N,""))</f>
        <v/>
      </c>
      <c r="E1165" s="364"/>
      <c r="F1165" s="258" t="str">
        <f>_xlfn.CONCAT(_xlfn.XLOOKUP("[S05_ImprovementReportArt69]["&amp;ROW(B1165)-ROW($B$1143)&amp;"][ImprovementReportType]",Submission!$O:$O,Submission!$H:$N,""))</f>
        <v/>
      </c>
      <c r="G1165" s="259"/>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74" t="str">
        <f>_xlfn.CONCAT(_xlfn.XLOOKUP("[S05_ImprovementReportArt69]["&amp;ROW(B1166)-ROW($B$1143)&amp;"][Annex1Activity]",Submission!$O:$O,Submission!$H:$N,""))</f>
        <v/>
      </c>
      <c r="E1166" s="364"/>
      <c r="F1166" s="258" t="str">
        <f>_xlfn.CONCAT(_xlfn.XLOOKUP("[S05_ImprovementReportArt69]["&amp;ROW(B1166)-ROW($B$1143)&amp;"][ImprovementReportType]",Submission!$O:$O,Submission!$H:$N,""))</f>
        <v/>
      </c>
      <c r="G1166" s="259"/>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74" t="str">
        <f>_xlfn.CONCAT(_xlfn.XLOOKUP("[S05_ImprovementReportArt69]["&amp;ROW(B1167)-ROW($B$1143)&amp;"][Annex1Activity]",Submission!$O:$O,Submission!$H:$N,""))</f>
        <v/>
      </c>
      <c r="E1167" s="364"/>
      <c r="F1167" s="258" t="str">
        <f>_xlfn.CONCAT(_xlfn.XLOOKUP("[S05_ImprovementReportArt69]["&amp;ROW(B1167)-ROW($B$1143)&amp;"][ImprovementReportType]",Submission!$O:$O,Submission!$H:$N,""))</f>
        <v/>
      </c>
      <c r="G1167" s="259"/>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74" t="str">
        <f>_xlfn.CONCAT(_xlfn.XLOOKUP("[S05_ImprovementReportArt69]["&amp;ROW(B1168)-ROW($B$1143)&amp;"][Annex1Activity]",Submission!$O:$O,Submission!$H:$N,""))</f>
        <v/>
      </c>
      <c r="E1168" s="364"/>
      <c r="F1168" s="258" t="str">
        <f>_xlfn.CONCAT(_xlfn.XLOOKUP("[S05_ImprovementReportArt69]["&amp;ROW(B1168)-ROW($B$1143)&amp;"][ImprovementReportType]",Submission!$O:$O,Submission!$H:$N,""))</f>
        <v/>
      </c>
      <c r="G1168" s="259"/>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74" t="str">
        <f>_xlfn.CONCAT(_xlfn.XLOOKUP("[S05_ImprovementReportArt69]["&amp;ROW(B1169)-ROW($B$1143)&amp;"][Annex1Activity]",Submission!$O:$O,Submission!$H:$N,""))</f>
        <v/>
      </c>
      <c r="E1169" s="364"/>
      <c r="F1169" s="258" t="str">
        <f>_xlfn.CONCAT(_xlfn.XLOOKUP("[S05_ImprovementReportArt69]["&amp;ROW(B1169)-ROW($B$1143)&amp;"][ImprovementReportType]",Submission!$O:$O,Submission!$H:$N,""))</f>
        <v/>
      </c>
      <c r="G1169" s="259"/>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74" t="str">
        <f>_xlfn.CONCAT(_xlfn.XLOOKUP("[S05_ImprovementReportArt69]["&amp;ROW(B1170)-ROW($B$1143)&amp;"][Annex1Activity]",Submission!$O:$O,Submission!$H:$N,""))</f>
        <v/>
      </c>
      <c r="E1170" s="364"/>
      <c r="F1170" s="258" t="str">
        <f>_xlfn.CONCAT(_xlfn.XLOOKUP("[S05_ImprovementReportArt69]["&amp;ROW(B1170)-ROW($B$1143)&amp;"][ImprovementReportType]",Submission!$O:$O,Submission!$H:$N,""))</f>
        <v/>
      </c>
      <c r="G1170" s="259"/>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74" t="str">
        <f>_xlfn.CONCAT(_xlfn.XLOOKUP("[S05_ImprovementReportArt69]["&amp;ROW(B1171)-ROW($B$1143)&amp;"][Annex1Activity]",Submission!$O:$O,Submission!$H:$N,""))</f>
        <v/>
      </c>
      <c r="E1171" s="364"/>
      <c r="F1171" s="258" t="str">
        <f>_xlfn.CONCAT(_xlfn.XLOOKUP("[S05_ImprovementReportArt69]["&amp;ROW(B1171)-ROW($B$1143)&amp;"][ImprovementReportType]",Submission!$O:$O,Submission!$H:$N,""))</f>
        <v/>
      </c>
      <c r="G1171" s="259"/>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74" t="str">
        <f>_xlfn.CONCAT(_xlfn.XLOOKUP("[S05_ImprovementReportArt69]["&amp;ROW(B1172)-ROW($B$1143)&amp;"][Annex1Activity]",Submission!$O:$O,Submission!$H:$N,""))</f>
        <v/>
      </c>
      <c r="E1172" s="364"/>
      <c r="F1172" s="258" t="str">
        <f>_xlfn.CONCAT(_xlfn.XLOOKUP("[S05_ImprovementReportArt69]["&amp;ROW(B1172)-ROW($B$1143)&amp;"][ImprovementReportType]",Submission!$O:$O,Submission!$H:$N,""))</f>
        <v/>
      </c>
      <c r="G1172" s="259"/>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74" t="str">
        <f>_xlfn.CONCAT(_xlfn.XLOOKUP("[S05_ImprovementReportArt69]["&amp;ROW(B1173)-ROW($B$1143)&amp;"][Annex1Activity]",Submission!$O:$O,Submission!$H:$N,""))</f>
        <v/>
      </c>
      <c r="E1173" s="364"/>
      <c r="F1173" s="258" t="str">
        <f>_xlfn.CONCAT(_xlfn.XLOOKUP("[S05_ImprovementReportArt69]["&amp;ROW(B1173)-ROW($B$1143)&amp;"][ImprovementReportType]",Submission!$O:$O,Submission!$H:$N,""))</f>
        <v/>
      </c>
      <c r="G1173" s="259"/>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74" t="str">
        <f>_xlfn.CONCAT(_xlfn.XLOOKUP("[S05_ImprovementReportArt69]["&amp;ROW(B1174)-ROW($B$1143)&amp;"][Annex1Activity]",Submission!$O:$O,Submission!$H:$N,""))</f>
        <v/>
      </c>
      <c r="E1174" s="364"/>
      <c r="F1174" s="258" t="str">
        <f>_xlfn.CONCAT(_xlfn.XLOOKUP("[S05_ImprovementReportArt69]["&amp;ROW(B1174)-ROW($B$1143)&amp;"][ImprovementReportType]",Submission!$O:$O,Submission!$H:$N,""))</f>
        <v/>
      </c>
      <c r="G1174" s="259"/>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74" t="str">
        <f>_xlfn.CONCAT(_xlfn.XLOOKUP("[S05_ImprovementReportArt69]["&amp;ROW(B1175)-ROW($B$1143)&amp;"][Annex1Activity]",Submission!$O:$O,Submission!$H:$N,""))</f>
        <v/>
      </c>
      <c r="E1175" s="364"/>
      <c r="F1175" s="258" t="str">
        <f>_xlfn.CONCAT(_xlfn.XLOOKUP("[S05_ImprovementReportArt69]["&amp;ROW(B1175)-ROW($B$1143)&amp;"][ImprovementReportType]",Submission!$O:$O,Submission!$H:$N,""))</f>
        <v/>
      </c>
      <c r="G1175" s="259"/>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4" t="str">
        <f>_xlfn.CONCAT(_xlfn.XLOOKUP("[S05_ImprovementReportArt69]["&amp;ROW(B1176)-ROW($B$1143)&amp;"][Annex1Activity]",Submission!$O:$O,Submission!$H:$N,""))</f>
        <v/>
      </c>
      <c r="E1176" s="364"/>
      <c r="F1176" s="258" t="str">
        <f>_xlfn.CONCAT(_xlfn.XLOOKUP("[S05_ImprovementReportArt69]["&amp;ROW(B1176)-ROW($B$1143)&amp;"][ImprovementReportType]",Submission!$O:$O,Submission!$H:$N,""))</f>
        <v/>
      </c>
      <c r="G1176" s="259"/>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4" t="str">
        <f>_xlfn.CONCAT(_xlfn.XLOOKUP("[S05_ImprovementReportArt69]["&amp;ROW(B1177)-ROW($B$1143)&amp;"][Annex1Activity]",Submission!$O:$O,Submission!$H:$N,""))</f>
        <v/>
      </c>
      <c r="E1177" s="364"/>
      <c r="F1177" s="258" t="str">
        <f>_xlfn.CONCAT(_xlfn.XLOOKUP("[S05_ImprovementReportArt69]["&amp;ROW(B1177)-ROW($B$1143)&amp;"][ImprovementReportType]",Submission!$O:$O,Submission!$H:$N,""))</f>
        <v/>
      </c>
      <c r="G1177" s="259"/>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4" t="str">
        <f>_xlfn.CONCAT(_xlfn.XLOOKUP("[S05_ImprovementReportArt69]["&amp;ROW(B1178)-ROW($B$1143)&amp;"][Annex1Activity]",Submission!$O:$O,Submission!$H:$N,""))</f>
        <v/>
      </c>
      <c r="E1178" s="364"/>
      <c r="F1178" s="258" t="str">
        <f>_xlfn.CONCAT(_xlfn.XLOOKUP("[S05_ImprovementReportArt69]["&amp;ROW(B1178)-ROW($B$1143)&amp;"][ImprovementReportType]",Submission!$O:$O,Submission!$H:$N,""))</f>
        <v/>
      </c>
      <c r="G1178" s="259"/>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4" t="str">
        <f>_xlfn.CONCAT(_xlfn.XLOOKUP("[S05_ImprovementReportArt69]["&amp;ROW(B1179)-ROW($B$1143)&amp;"][Annex1Activity]",Submission!$O:$O,Submission!$H:$N,""))</f>
        <v/>
      </c>
      <c r="E1179" s="364"/>
      <c r="F1179" s="258" t="str">
        <f>_xlfn.CONCAT(_xlfn.XLOOKUP("[S05_ImprovementReportArt69]["&amp;ROW(B1179)-ROW($B$1143)&amp;"][ImprovementReportType]",Submission!$O:$O,Submission!$H:$N,""))</f>
        <v/>
      </c>
      <c r="G1179" s="259"/>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4" t="str">
        <f>_xlfn.CONCAT(_xlfn.XLOOKUP("[S05_ImprovementReportArt69]["&amp;ROW(B1180)-ROW($B$1143)&amp;"][Annex1Activity]",Submission!$O:$O,Submission!$H:$N,""))</f>
        <v/>
      </c>
      <c r="E1180" s="364"/>
      <c r="F1180" s="258" t="str">
        <f>_xlfn.CONCAT(_xlfn.XLOOKUP("[S05_ImprovementReportArt69]["&amp;ROW(B1180)-ROW($B$1143)&amp;"][ImprovementReportType]",Submission!$O:$O,Submission!$H:$N,""))</f>
        <v/>
      </c>
      <c r="G1180" s="259"/>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4" t="str">
        <f>_xlfn.CONCAT(_xlfn.XLOOKUP("[S05_ImprovementReportArt69]["&amp;ROW(B1181)-ROW($B$1143)&amp;"][Annex1Activity]",Submission!$O:$O,Submission!$H:$N,""))</f>
        <v/>
      </c>
      <c r="E1181" s="364"/>
      <c r="F1181" s="258" t="str">
        <f>_xlfn.CONCAT(_xlfn.XLOOKUP("[S05_ImprovementReportArt69]["&amp;ROW(B1181)-ROW($B$1143)&amp;"][ImprovementReportType]",Submission!$O:$O,Submission!$H:$N,""))</f>
        <v/>
      </c>
      <c r="G1181" s="259"/>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4" t="str">
        <f>_xlfn.CONCAT(_xlfn.XLOOKUP("[S05_ImprovementReportArt69]["&amp;ROW(B1182)-ROW($B$1143)&amp;"][Annex1Activity]",Submission!$O:$O,Submission!$H:$N,""))</f>
        <v/>
      </c>
      <c r="E1182" s="364"/>
      <c r="F1182" s="258" t="str">
        <f>_xlfn.CONCAT(_xlfn.XLOOKUP("[S05_ImprovementReportArt69]["&amp;ROW(B1182)-ROW($B$1143)&amp;"][ImprovementReportType]",Submission!$O:$O,Submission!$H:$N,""))</f>
        <v/>
      </c>
      <c r="G1182" s="259"/>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4" t="str">
        <f>_xlfn.CONCAT(_xlfn.XLOOKUP("[S05_ImprovementReportArt69]["&amp;ROW(B1183)-ROW($B$1143)&amp;"][Annex1Activity]",Submission!$O:$O,Submission!$H:$N,""))</f>
        <v/>
      </c>
      <c r="E1183" s="364"/>
      <c r="F1183" s="258" t="str">
        <f>_xlfn.CONCAT(_xlfn.XLOOKUP("[S05_ImprovementReportArt69]["&amp;ROW(B1183)-ROW($B$1143)&amp;"][ImprovementReportType]",Submission!$O:$O,Submission!$H:$N,""))</f>
        <v/>
      </c>
      <c r="G1183" s="259"/>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4" t="str">
        <f>_xlfn.CONCAT(_xlfn.XLOOKUP("[S05_ImprovementReportArt69]["&amp;ROW(B1184)-ROW($B$1143)&amp;"][Annex1Activity]",Submission!$O:$O,Submission!$H:$N,""))</f>
        <v/>
      </c>
      <c r="E1184" s="364"/>
      <c r="F1184" s="258" t="str">
        <f>_xlfn.CONCAT(_xlfn.XLOOKUP("[S05_ImprovementReportArt69]["&amp;ROW(B1184)-ROW($B$1143)&amp;"][ImprovementReportType]",Submission!$O:$O,Submission!$H:$N,""))</f>
        <v/>
      </c>
      <c r="G1184" s="259"/>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4" t="str">
        <f>_xlfn.CONCAT(_xlfn.XLOOKUP("[S05_ImprovementReportArt69]["&amp;ROW(B1185)-ROW($B$1143)&amp;"][Annex1Activity]",Submission!$O:$O,Submission!$H:$N,""))</f>
        <v/>
      </c>
      <c r="E1185" s="364"/>
      <c r="F1185" s="258" t="str">
        <f>_xlfn.CONCAT(_xlfn.XLOOKUP("[S05_ImprovementReportArt69]["&amp;ROW(B1185)-ROW($B$1143)&amp;"][ImprovementReportType]",Submission!$O:$O,Submission!$H:$N,""))</f>
        <v/>
      </c>
      <c r="G1185" s="259"/>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4" t="str">
        <f>_xlfn.CONCAT(_xlfn.XLOOKUP("[S05_ImprovementReportArt69]["&amp;ROW(B1186)-ROW($B$1143)&amp;"][Annex1Activity]",Submission!$O:$O,Submission!$H:$N,""))</f>
        <v/>
      </c>
      <c r="E1186" s="364"/>
      <c r="F1186" s="258" t="str">
        <f>_xlfn.CONCAT(_xlfn.XLOOKUP("[S05_ImprovementReportArt69]["&amp;ROW(B1186)-ROW($B$1143)&amp;"][ImprovementReportType]",Submission!$O:$O,Submission!$H:$N,""))</f>
        <v/>
      </c>
      <c r="G1186" s="259"/>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4" t="str">
        <f>_xlfn.CONCAT(_xlfn.XLOOKUP("[S05_ImprovementReportArt69]["&amp;ROW(B1187)-ROW($B$1143)&amp;"][Annex1Activity]",Submission!$O:$O,Submission!$H:$N,""))</f>
        <v/>
      </c>
      <c r="E1187" s="364"/>
      <c r="F1187" s="258" t="str">
        <f>_xlfn.CONCAT(_xlfn.XLOOKUP("[S05_ImprovementReportArt69]["&amp;ROW(B1187)-ROW($B$1143)&amp;"][ImprovementReportType]",Submission!$O:$O,Submission!$H:$N,""))</f>
        <v/>
      </c>
      <c r="G1187" s="259"/>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4" t="str">
        <f>_xlfn.CONCAT(_xlfn.XLOOKUP("[S05_ImprovementReportArt69]["&amp;ROW(B1188)-ROW($B$1143)&amp;"][Annex1Activity]",Submission!$O:$O,Submission!$H:$N,""))</f>
        <v/>
      </c>
      <c r="E1188" s="364"/>
      <c r="F1188" s="258" t="str">
        <f>_xlfn.CONCAT(_xlfn.XLOOKUP("[S05_ImprovementReportArt69]["&amp;ROW(B1188)-ROW($B$1143)&amp;"][ImprovementReportType]",Submission!$O:$O,Submission!$H:$N,""))</f>
        <v/>
      </c>
      <c r="G1188" s="259"/>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4" t="str">
        <f>_xlfn.CONCAT(_xlfn.XLOOKUP("[S05_ImprovementReportArt69]["&amp;ROW(B1189)-ROW($B$1143)&amp;"][Annex1Activity]",Submission!$O:$O,Submission!$H:$N,""))</f>
        <v/>
      </c>
      <c r="E1189" s="364"/>
      <c r="F1189" s="258" t="str">
        <f>_xlfn.CONCAT(_xlfn.XLOOKUP("[S05_ImprovementReportArt69]["&amp;ROW(B1189)-ROW($B$1143)&amp;"][ImprovementReportType]",Submission!$O:$O,Submission!$H:$N,""))</f>
        <v/>
      </c>
      <c r="G1189" s="259"/>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4" t="str">
        <f>_xlfn.CONCAT(_xlfn.XLOOKUP("[S05_ImprovementReportArt69]["&amp;ROW(B1190)-ROW($B$1143)&amp;"][Annex1Activity]",Submission!$O:$O,Submission!$H:$N,""))</f>
        <v/>
      </c>
      <c r="E1190" s="364"/>
      <c r="F1190" s="258" t="str">
        <f>_xlfn.CONCAT(_xlfn.XLOOKUP("[S05_ImprovementReportArt69]["&amp;ROW(B1190)-ROW($B$1143)&amp;"][ImprovementReportType]",Submission!$O:$O,Submission!$H:$N,""))</f>
        <v/>
      </c>
      <c r="G1190" s="259"/>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4" t="str">
        <f>_xlfn.CONCAT(_xlfn.XLOOKUP("[S05_ImprovementReportArt69]["&amp;ROW(B1191)-ROW($B$1143)&amp;"][Annex1Activity]",Submission!$O:$O,Submission!$H:$N,""))</f>
        <v/>
      </c>
      <c r="E1191" s="364"/>
      <c r="F1191" s="258" t="str">
        <f>_xlfn.CONCAT(_xlfn.XLOOKUP("[S05_ImprovementReportArt69]["&amp;ROW(B1191)-ROW($B$1143)&amp;"][ImprovementReportType]",Submission!$O:$O,Submission!$H:$N,""))</f>
        <v/>
      </c>
      <c r="G1191" s="259"/>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4" t="str">
        <f>_xlfn.CONCAT(_xlfn.XLOOKUP("[S05_ImprovementReportArt69]["&amp;ROW(B1192)-ROW($B$1143)&amp;"][Annex1Activity]",Submission!$O:$O,Submission!$H:$N,""))</f>
        <v/>
      </c>
      <c r="E1192" s="364"/>
      <c r="F1192" s="258" t="str">
        <f>_xlfn.CONCAT(_xlfn.XLOOKUP("[S05_ImprovementReportArt69]["&amp;ROW(B1192)-ROW($B$1143)&amp;"][ImprovementReportType]",Submission!$O:$O,Submission!$H:$N,""))</f>
        <v/>
      </c>
      <c r="G1192" s="259"/>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4" t="str">
        <f>_xlfn.CONCAT(_xlfn.XLOOKUP("[S05_ImprovementReportArt69]["&amp;ROW(B1193)-ROW($B$1143)&amp;"][Annex1Activity]",Submission!$O:$O,Submission!$H:$N,""))</f>
        <v/>
      </c>
      <c r="E1193" s="364"/>
      <c r="F1193" s="258" t="str">
        <f>_xlfn.CONCAT(_xlfn.XLOOKUP("[S05_ImprovementReportArt69]["&amp;ROW(B1193)-ROW($B$1143)&amp;"][ImprovementReportType]",Submission!$O:$O,Submission!$H:$N,""))</f>
        <v/>
      </c>
      <c r="G1193" s="259"/>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4" t="str">
        <f>_xlfn.CONCAT(_xlfn.XLOOKUP("[S05_ImprovementReportArt69]["&amp;ROW(B1194)-ROW($B$1143)&amp;"][Annex1Activity]",Submission!$O:$O,Submission!$H:$N,""))</f>
        <v/>
      </c>
      <c r="E1194" s="364"/>
      <c r="F1194" s="258" t="str">
        <f>_xlfn.CONCAT(_xlfn.XLOOKUP("[S05_ImprovementReportArt69]["&amp;ROW(B1194)-ROW($B$1143)&amp;"][ImprovementReportType]",Submission!$O:$O,Submission!$H:$N,""))</f>
        <v/>
      </c>
      <c r="G1194" s="259"/>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4" t="str">
        <f>_xlfn.CONCAT(_xlfn.XLOOKUP("[S05_ImprovementReportArt69]["&amp;ROW(B1195)-ROW($B$1143)&amp;"][Annex1Activity]",Submission!$O:$O,Submission!$H:$N,""))</f>
        <v/>
      </c>
      <c r="E1195" s="364"/>
      <c r="F1195" s="258" t="str">
        <f>_xlfn.CONCAT(_xlfn.XLOOKUP("[S05_ImprovementReportArt69]["&amp;ROW(B1195)-ROW($B$1143)&amp;"][ImprovementReportType]",Submission!$O:$O,Submission!$H:$N,""))</f>
        <v/>
      </c>
      <c r="G1195" s="259"/>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4" t="str">
        <f>_xlfn.CONCAT(_xlfn.XLOOKUP("[S05_ImprovementReportArt69]["&amp;ROW(B1196)-ROW($B$1143)&amp;"][Annex1Activity]",Submission!$O:$O,Submission!$H:$N,""))</f>
        <v/>
      </c>
      <c r="E1196" s="364"/>
      <c r="F1196" s="258" t="str">
        <f>_xlfn.CONCAT(_xlfn.XLOOKUP("[S05_ImprovementReportArt69]["&amp;ROW(B1196)-ROW($B$1143)&amp;"][ImprovementReportType]",Submission!$O:$O,Submission!$H:$N,""))</f>
        <v/>
      </c>
      <c r="G1196" s="259"/>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4" t="str">
        <f>_xlfn.CONCAT(_xlfn.XLOOKUP("[S05_ImprovementReportArt69]["&amp;ROW(B1197)-ROW($B$1143)&amp;"][Annex1Activity]",Submission!$O:$O,Submission!$H:$N,""))</f>
        <v/>
      </c>
      <c r="E1197" s="364"/>
      <c r="F1197" s="258" t="str">
        <f>_xlfn.CONCAT(_xlfn.XLOOKUP("[S05_ImprovementReportArt69]["&amp;ROW(B1197)-ROW($B$1143)&amp;"][ImprovementReportType]",Submission!$O:$O,Submission!$H:$N,""))</f>
        <v/>
      </c>
      <c r="G1197" s="259"/>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4" t="str">
        <f>_xlfn.CONCAT(_xlfn.XLOOKUP("[S05_ImprovementReportArt69]["&amp;ROW(B1198)-ROW($B$1143)&amp;"][Annex1Activity]",Submission!$O:$O,Submission!$H:$N,""))</f>
        <v/>
      </c>
      <c r="E1198" s="364"/>
      <c r="F1198" s="258" t="str">
        <f>_xlfn.CONCAT(_xlfn.XLOOKUP("[S05_ImprovementReportArt69]["&amp;ROW(B1198)-ROW($B$1143)&amp;"][ImprovementReportType]",Submission!$O:$O,Submission!$H:$N,""))</f>
        <v/>
      </c>
      <c r="G1198" s="259"/>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4" t="str">
        <f>_xlfn.CONCAT(_xlfn.XLOOKUP("[S05_ImprovementReportArt69]["&amp;ROW(B1199)-ROW($B$1143)&amp;"][Annex1Activity]",Submission!$O:$O,Submission!$H:$N,""))</f>
        <v/>
      </c>
      <c r="E1199" s="364"/>
      <c r="F1199" s="258" t="str">
        <f>_xlfn.CONCAT(_xlfn.XLOOKUP("[S05_ImprovementReportArt69]["&amp;ROW(B1199)-ROW($B$1143)&amp;"][ImprovementReportType]",Submission!$O:$O,Submission!$H:$N,""))</f>
        <v/>
      </c>
      <c r="G1199" s="259"/>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4" t="str">
        <f>_xlfn.CONCAT(_xlfn.XLOOKUP("[S05_ImprovementReportArt69]["&amp;ROW(B1200)-ROW($B$1143)&amp;"][Annex1Activity]",Submission!$O:$O,Submission!$H:$N,""))</f>
        <v/>
      </c>
      <c r="E1200" s="364"/>
      <c r="F1200" s="258" t="str">
        <f>_xlfn.CONCAT(_xlfn.XLOOKUP("[S05_ImprovementReportArt69]["&amp;ROW(B1200)-ROW($B$1143)&amp;"][ImprovementReportType]",Submission!$O:$O,Submission!$H:$N,""))</f>
        <v/>
      </c>
      <c r="G1200" s="259"/>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4" t="str">
        <f>_xlfn.CONCAT(_xlfn.XLOOKUP("[S05_ImprovementReportArt69]["&amp;ROW(B1201)-ROW($B$1143)&amp;"][Annex1Activity]",Submission!$O:$O,Submission!$H:$N,""))</f>
        <v/>
      </c>
      <c r="E1201" s="364"/>
      <c r="F1201" s="258" t="str">
        <f>_xlfn.CONCAT(_xlfn.XLOOKUP("[S05_ImprovementReportArt69]["&amp;ROW(B1201)-ROW($B$1143)&amp;"][ImprovementReportType]",Submission!$O:$O,Submission!$H:$N,""))</f>
        <v/>
      </c>
      <c r="G1201" s="259"/>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4" t="str">
        <f>_xlfn.CONCAT(_xlfn.XLOOKUP("[S05_ImprovementReportArt69]["&amp;ROW(B1202)-ROW($B$1143)&amp;"][Annex1Activity]",Submission!$O:$O,Submission!$H:$N,""))</f>
        <v/>
      </c>
      <c r="E1202" s="364"/>
      <c r="F1202" s="258" t="str">
        <f>_xlfn.CONCAT(_xlfn.XLOOKUP("[S05_ImprovementReportArt69]["&amp;ROW(B1202)-ROW($B$1143)&amp;"][ImprovementReportType]",Submission!$O:$O,Submission!$H:$N,""))</f>
        <v/>
      </c>
      <c r="G1202" s="259"/>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4" t="str">
        <f>_xlfn.CONCAT(_xlfn.XLOOKUP("[S05_ImprovementReportArt69]["&amp;ROW(B1203)-ROW($B$1143)&amp;"][Annex1Activity]",Submission!$O:$O,Submission!$H:$N,""))</f>
        <v/>
      </c>
      <c r="E1203" s="364"/>
      <c r="F1203" s="258" t="str">
        <f>_xlfn.CONCAT(_xlfn.XLOOKUP("[S05_ImprovementReportArt69]["&amp;ROW(B1203)-ROW($B$1143)&amp;"][ImprovementReportType]",Submission!$O:$O,Submission!$H:$N,""))</f>
        <v/>
      </c>
      <c r="G1203" s="259"/>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4" t="str">
        <f>_xlfn.CONCAT(_xlfn.XLOOKUP("[S05_ImprovementReportArt69]["&amp;ROW(B1204)-ROW($B$1143)&amp;"][Annex1Activity]",Submission!$O:$O,Submission!$H:$N,""))</f>
        <v/>
      </c>
      <c r="E1204" s="364"/>
      <c r="F1204" s="258" t="str">
        <f>_xlfn.CONCAT(_xlfn.XLOOKUP("[S05_ImprovementReportArt69]["&amp;ROW(B1204)-ROW($B$1143)&amp;"][ImprovementReportType]",Submission!$O:$O,Submission!$H:$N,""))</f>
        <v/>
      </c>
      <c r="G1204" s="259"/>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4" t="str">
        <f>_xlfn.CONCAT(_xlfn.XLOOKUP("[S05_ImprovementReportArt69]["&amp;ROW(B1205)-ROW($B$1143)&amp;"][Annex1Activity]",Submission!$O:$O,Submission!$H:$N,""))</f>
        <v/>
      </c>
      <c r="E1205" s="364"/>
      <c r="F1205" s="258" t="str">
        <f>_xlfn.CONCAT(_xlfn.XLOOKUP("[S05_ImprovementReportArt69]["&amp;ROW(B1205)-ROW($B$1143)&amp;"][ImprovementReportType]",Submission!$O:$O,Submission!$H:$N,""))</f>
        <v/>
      </c>
      <c r="G1205" s="259"/>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4" t="str">
        <f>_xlfn.CONCAT(_xlfn.XLOOKUP("[S05_ImprovementReportArt69]["&amp;ROW(B1206)-ROW($B$1143)&amp;"][Annex1Activity]",Submission!$O:$O,Submission!$H:$N,""))</f>
        <v/>
      </c>
      <c r="E1206" s="364"/>
      <c r="F1206" s="258" t="str">
        <f>_xlfn.CONCAT(_xlfn.XLOOKUP("[S05_ImprovementReportArt69]["&amp;ROW(B1206)-ROW($B$1143)&amp;"][ImprovementReportType]",Submission!$O:$O,Submission!$H:$N,""))</f>
        <v/>
      </c>
      <c r="G1206" s="259"/>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4" t="str">
        <f>_xlfn.CONCAT(_xlfn.XLOOKUP("[S05_ImprovementReportArt69]["&amp;ROW(B1207)-ROW($B$1143)&amp;"][Annex1Activity]",Submission!$O:$O,Submission!$H:$N,""))</f>
        <v/>
      </c>
      <c r="E1207" s="364"/>
      <c r="F1207" s="258" t="str">
        <f>_xlfn.CONCAT(_xlfn.XLOOKUP("[S05_ImprovementReportArt69]["&amp;ROW(B1207)-ROW($B$1143)&amp;"][ImprovementReportType]",Submission!$O:$O,Submission!$H:$N,""))</f>
        <v/>
      </c>
      <c r="G1207" s="259"/>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4" t="str">
        <f>_xlfn.CONCAT(_xlfn.XLOOKUP("[S05_ImprovementReportArt69]["&amp;ROW(B1208)-ROW($B$1143)&amp;"][Annex1Activity]",Submission!$O:$O,Submission!$H:$N,""))</f>
        <v/>
      </c>
      <c r="E1208" s="364"/>
      <c r="F1208" s="258" t="str">
        <f>_xlfn.CONCAT(_xlfn.XLOOKUP("[S05_ImprovementReportArt69]["&amp;ROW(B1208)-ROW($B$1143)&amp;"][ImprovementReportType]",Submission!$O:$O,Submission!$H:$N,""))</f>
        <v/>
      </c>
      <c r="G1208" s="259"/>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4" t="str">
        <f>_xlfn.CONCAT(_xlfn.XLOOKUP("[S05_ImprovementReportArt69]["&amp;ROW(B1209)-ROW($B$1143)&amp;"][Annex1Activity]",Submission!$O:$O,Submission!$H:$N,""))</f>
        <v/>
      </c>
      <c r="E1209" s="364"/>
      <c r="F1209" s="258" t="str">
        <f>_xlfn.CONCAT(_xlfn.XLOOKUP("[S05_ImprovementReportArt69]["&amp;ROW(B1209)-ROW($B$1143)&amp;"][ImprovementReportType]",Submission!$O:$O,Submission!$H:$N,""))</f>
        <v/>
      </c>
      <c r="G1209" s="259"/>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4" t="str">
        <f>_xlfn.CONCAT(_xlfn.XLOOKUP("[S05_ImprovementReportArt69]["&amp;ROW(B1210)-ROW($B$1143)&amp;"][Annex1Activity]",Submission!$O:$O,Submission!$H:$N,""))</f>
        <v/>
      </c>
      <c r="E1210" s="364"/>
      <c r="F1210" s="258" t="str">
        <f>_xlfn.CONCAT(_xlfn.XLOOKUP("[S05_ImprovementReportArt69]["&amp;ROW(B1210)-ROW($B$1143)&amp;"][ImprovementReportType]",Submission!$O:$O,Submission!$H:$N,""))</f>
        <v/>
      </c>
      <c r="G1210" s="259"/>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4" t="str">
        <f>_xlfn.CONCAT(_xlfn.XLOOKUP("[S05_ImprovementReportArt69]["&amp;ROW(B1211)-ROW($B$1143)&amp;"][Annex1Activity]",Submission!$O:$O,Submission!$H:$N,""))</f>
        <v/>
      </c>
      <c r="E1211" s="364"/>
      <c r="F1211" s="258" t="str">
        <f>_xlfn.CONCAT(_xlfn.XLOOKUP("[S05_ImprovementReportArt69]["&amp;ROW(B1211)-ROW($B$1143)&amp;"][ImprovementReportType]",Submission!$O:$O,Submission!$H:$N,""))</f>
        <v/>
      </c>
      <c r="G1211" s="259"/>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4" t="str">
        <f>_xlfn.CONCAT(_xlfn.XLOOKUP("[S05_ImprovementReportArt69]["&amp;ROW(B1212)-ROW($B$1143)&amp;"][Annex1Activity]",Submission!$O:$O,Submission!$H:$N,""))</f>
        <v/>
      </c>
      <c r="E1212" s="364"/>
      <c r="F1212" s="258" t="str">
        <f>_xlfn.CONCAT(_xlfn.XLOOKUP("[S05_ImprovementReportArt69]["&amp;ROW(B1212)-ROW($B$1143)&amp;"][ImprovementReportType]",Submission!$O:$O,Submission!$H:$N,""))</f>
        <v/>
      </c>
      <c r="G1212" s="259"/>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4" t="str">
        <f>_xlfn.CONCAT(_xlfn.XLOOKUP("[S05_ImprovementReportArt69]["&amp;ROW(B1213)-ROW($B$1143)&amp;"][Annex1Activity]",Submission!$O:$O,Submission!$H:$N,""))</f>
        <v/>
      </c>
      <c r="E1213" s="364"/>
      <c r="F1213" s="258" t="str">
        <f>_xlfn.CONCAT(_xlfn.XLOOKUP("[S05_ImprovementReportArt69]["&amp;ROW(B1213)-ROW($B$1143)&amp;"][ImprovementReportType]",Submission!$O:$O,Submission!$H:$N,""))</f>
        <v/>
      </c>
      <c r="G1213" s="259"/>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58" t="s">
        <v>895</v>
      </c>
      <c r="D1215" s="358"/>
      <c r="E1215" s="358"/>
      <c r="F1215" s="358"/>
      <c r="G1215" s="358"/>
      <c r="H1215" s="358"/>
      <c r="I1215" s="358"/>
    </row>
    <row r="1216" spans="1:9" ht="15.9" customHeight="1" x14ac:dyDescent="0.3"/>
    <row r="1217" spans="1:12" ht="33" customHeight="1" x14ac:dyDescent="0.3">
      <c r="A1217" s="12" t="s">
        <v>273</v>
      </c>
      <c r="B1217" s="338" t="s">
        <v>896</v>
      </c>
      <c r="C1217" s="308"/>
      <c r="D1217" s="308"/>
      <c r="E1217" s="308"/>
      <c r="F1217" s="308"/>
      <c r="G1217" s="308"/>
      <c r="H1217" s="345"/>
      <c r="I1217" s="41" t="str">
        <f>_xlfn.CONCAT(_xlfn.XLOOKUP("[InherentCarbonTransferred][0][InherentCarbonTransferred]",Submission!$O:$O,Submission!$H:$N,""))</f>
        <v>No</v>
      </c>
    </row>
    <row r="1218" spans="1:12" ht="15.9" customHeight="1" x14ac:dyDescent="0.3">
      <c r="A1218" s="12"/>
      <c r="B1218" s="338" t="s">
        <v>884</v>
      </c>
      <c r="C1218" s="308"/>
      <c r="D1218" s="308"/>
      <c r="E1218" s="308"/>
      <c r="F1218" s="308"/>
      <c r="G1218" s="308"/>
      <c r="H1218" s="308"/>
      <c r="I1218" s="308"/>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58" t="s">
        <v>904</v>
      </c>
      <c r="D1318" s="359"/>
      <c r="E1318" s="359"/>
      <c r="F1318" s="359"/>
      <c r="G1318" s="359"/>
      <c r="H1318" s="359"/>
      <c r="I1318" s="359"/>
    </row>
    <row r="1319" spans="1:12" ht="15.9" customHeight="1" x14ac:dyDescent="0.3">
      <c r="B1319" s="16"/>
      <c r="C1319" s="279" t="s">
        <v>905</v>
      </c>
      <c r="D1319" s="280"/>
      <c r="E1319" s="280"/>
      <c r="F1319" s="280"/>
      <c r="G1319" s="280"/>
      <c r="H1319" s="280"/>
      <c r="I1319" s="280"/>
    </row>
    <row r="1320" spans="1:12" ht="28.2" customHeight="1" x14ac:dyDescent="0.3">
      <c r="B1320" s="16"/>
      <c r="C1320" s="279" t="s">
        <v>906</v>
      </c>
      <c r="D1320" s="384"/>
      <c r="E1320" s="384"/>
      <c r="F1320" s="384"/>
      <c r="G1320" s="384"/>
      <c r="H1320" s="384"/>
      <c r="I1320" s="384"/>
    </row>
    <row r="1321" spans="1:12" ht="29.4" customHeight="1" x14ac:dyDescent="0.3">
      <c r="B1321" s="16"/>
      <c r="C1321" s="279" t="s">
        <v>907</v>
      </c>
      <c r="D1321" s="384"/>
      <c r="E1321" s="384"/>
      <c r="F1321" s="384"/>
      <c r="G1321" s="384"/>
      <c r="H1321" s="384"/>
      <c r="I1321" s="384"/>
    </row>
    <row r="1322" spans="1:12" ht="28.2" customHeight="1" x14ac:dyDescent="0.3">
      <c r="B1322" s="16"/>
      <c r="C1322" s="279" t="s">
        <v>908</v>
      </c>
      <c r="D1322" s="279"/>
      <c r="E1322" s="279"/>
      <c r="F1322" s="279"/>
      <c r="G1322" s="279"/>
      <c r="H1322" s="279"/>
      <c r="I1322" s="279"/>
    </row>
    <row r="1323" spans="1:12" ht="15.9" customHeight="1" x14ac:dyDescent="0.3"/>
    <row r="1324" spans="1:12" ht="31.95" customHeight="1" x14ac:dyDescent="0.3">
      <c r="A1324" s="12" t="s">
        <v>283</v>
      </c>
      <c r="B1324" s="338" t="s">
        <v>909</v>
      </c>
      <c r="C1324" s="308"/>
      <c r="D1324" s="308"/>
      <c r="E1324" s="308"/>
      <c r="F1324" s="308"/>
      <c r="G1324" s="308"/>
      <c r="H1324" s="345"/>
      <c r="I1324" s="41" t="str">
        <f>_xlfn.CONCAT(_xlfn.XLOOKUP("[ContinuousEmissionsMeasurement][0][ContinuousEmissionsMeasurement]",Submission!$O:$O,Submission!$H:$N,""))</f>
        <v>Yes</v>
      </c>
    </row>
    <row r="1325" spans="1:12" s="58" customFormat="1" ht="36" customHeight="1" x14ac:dyDescent="0.3">
      <c r="A1325" s="57"/>
      <c r="B1325" s="264" t="s">
        <v>910</v>
      </c>
      <c r="C1325" s="265"/>
      <c r="D1325" s="265"/>
      <c r="E1325" s="265"/>
      <c r="F1325" s="265"/>
      <c r="G1325" s="265"/>
      <c r="H1325" s="265"/>
      <c r="I1325" s="265"/>
    </row>
    <row r="1326" spans="1:12" ht="46.95" customHeight="1" x14ac:dyDescent="0.3">
      <c r="B1326" s="23"/>
      <c r="C1326" s="317" t="s">
        <v>911</v>
      </c>
      <c r="D1326" s="318"/>
      <c r="E1326" s="317" t="s">
        <v>912</v>
      </c>
      <c r="F1326" s="318"/>
      <c r="G1326" s="46" t="s">
        <v>913</v>
      </c>
      <c r="H1326" s="46" t="s">
        <v>914</v>
      </c>
      <c r="I1326" s="46" t="s">
        <v>915</v>
      </c>
    </row>
    <row r="1327" spans="1:12" ht="15.9" customHeight="1" x14ac:dyDescent="0.3">
      <c r="A1327" s="13"/>
      <c r="B1327" s="23"/>
      <c r="C1327" s="258" t="str">
        <f>_xlfn.CONCAT(_xlfn.XLOOKUP("[S05_ContinuousEmissionsMeasurementDetail][1][InstallationIDCO2]",Submission!$O:$O,Submission!$H:$N,""))</f>
        <v>CZ-117</v>
      </c>
      <c r="D1327" s="260"/>
      <c r="E1327" s="258" t="str">
        <f>_xlfn.CONCAT(_xlfn.XLOOKUP("[S05_ContinuousEmissionsMeasurementDetail][1][InstallationIDN2O]",Submission!$O:$O,Submission!$H:$N,""))</f>
        <v/>
      </c>
      <c r="F1327" s="260"/>
      <c r="G1327" s="127" t="str">
        <f>_xlfn.CONCAT(_xlfn.XLOOKUP("[S05_ContinuousEmissionsMeasurementDetail][1][TotalEmissionsCO2E]",Submission!$O:$O,Submission!$H:$N,""))</f>
        <v>2237282.95325926</v>
      </c>
      <c r="H1327" s="127" t="str">
        <f>_xlfn.CONCAT(_xlfn.XLOOKUP("[S05_ContinuousEmissionsMeasurementDetail][1][ContinuousMeasurementTotalEmissions]",Submission!$O:$O,Submission!$H:$N,""))</f>
        <v>1333902</v>
      </c>
      <c r="I1327" s="72" t="str">
        <f>_xlfn.CONCAT(_xlfn.XLOOKUP("[S05_ContinuousEmissionsMeasurementDetail][1][FlueGasContainBiomass]",Submission!$O:$O,Submission!$H:$N,""))</f>
        <v>No</v>
      </c>
    </row>
    <row r="1328" spans="1:12" ht="15.9" customHeight="1" x14ac:dyDescent="0.3">
      <c r="A1328" s="13"/>
      <c r="B1328" s="23"/>
      <c r="C1328" s="258" t="str">
        <f>_xlfn.CONCAT(_xlfn.XLOOKUP("[S05_ContinuousEmissionsMeasurementDetail][2][InstallationIDCO2]",Submission!$O:$O,Submission!$H:$N,""))</f>
        <v>CZ-36</v>
      </c>
      <c r="D1328" s="260"/>
      <c r="E1328" s="258" t="str">
        <f>_xlfn.CONCAT(_xlfn.XLOOKUP("[S05_ContinuousEmissionsMeasurementDetail][2][InstallationIDN2O]",Submission!$O:$O,Submission!$H:$N,""))</f>
        <v/>
      </c>
      <c r="F1328" s="260"/>
      <c r="G1328" s="127" t="str">
        <f>_xlfn.CONCAT(_xlfn.XLOOKUP("[S05_ContinuousEmissionsMeasurementDetail][2][TotalEmissionsCO2E]",Submission!$O:$O,Submission!$H:$N,""))</f>
        <v>1691751.81037217</v>
      </c>
      <c r="H1328" s="127" t="str">
        <f>_xlfn.CONCAT(_xlfn.XLOOKUP("[S05_ContinuousEmissionsMeasurementDetail][2][ContinuousMeasurementTotalEmissions]",Submission!$O:$O,Submission!$H:$N,""))</f>
        <v>1691751.41527097</v>
      </c>
      <c r="I1328" s="72" t="str">
        <f>_xlfn.CONCAT(_xlfn.XLOOKUP("[S05_ContinuousEmissionsMeasurementDetail][2][FlueGasContainBiomass]",Submission!$O:$O,Submission!$H:$N,""))</f>
        <v>No</v>
      </c>
    </row>
    <row r="1329" spans="1:9" ht="15.9" customHeight="1" x14ac:dyDescent="0.3">
      <c r="A1329" s="13"/>
      <c r="B1329" s="23"/>
      <c r="C1329" s="258" t="str">
        <f>_xlfn.CONCAT(_xlfn.XLOOKUP("[S05_ContinuousEmissionsMeasurementDetail][3][InstallationIDCO2]",Submission!$O:$O,Submission!$H:$N,""))</f>
        <v>CZ-65</v>
      </c>
      <c r="D1329" s="260"/>
      <c r="E1329" s="258" t="str">
        <f>_xlfn.CONCAT(_xlfn.XLOOKUP("[S05_ContinuousEmissionsMeasurementDetail][3][InstallationIDN2O]",Submission!$O:$O,Submission!$H:$N,""))</f>
        <v/>
      </c>
      <c r="F1329" s="260"/>
      <c r="G1329" s="127" t="str">
        <f>_xlfn.CONCAT(_xlfn.XLOOKUP("[S05_ContinuousEmissionsMeasurementDetail][3][TotalEmissionsCO2E]",Submission!$O:$O,Submission!$H:$N,""))</f>
        <v>734152.49607816</v>
      </c>
      <c r="H1329" s="127" t="str">
        <f>_xlfn.CONCAT(_xlfn.XLOOKUP("[S05_ContinuousEmissionsMeasurementDetail][3][ContinuousMeasurementTotalEmissions]",Submission!$O:$O,Submission!$H:$N,""))</f>
        <v>424739.301746244</v>
      </c>
      <c r="I1329" s="72" t="str">
        <f>_xlfn.CONCAT(_xlfn.XLOOKUP("[S05_ContinuousEmissionsMeasurementDetail][3][FlueGasContainBiomass]",Submission!$O:$O,Submission!$H:$N,""))</f>
        <v>Yes</v>
      </c>
    </row>
    <row r="1330" spans="1:9" ht="15.9" customHeight="1" x14ac:dyDescent="0.3">
      <c r="A1330" s="13"/>
      <c r="B1330" s="23"/>
      <c r="C1330" s="258" t="str">
        <f>_xlfn.CONCAT(_xlfn.XLOOKUP("[S05_ContinuousEmissionsMeasurementDetail][4][InstallationIDCO2]",Submission!$O:$O,Submission!$H:$N,""))</f>
        <v>CZ-45</v>
      </c>
      <c r="D1330" s="260"/>
      <c r="E1330" s="258" t="str">
        <f>_xlfn.CONCAT(_xlfn.XLOOKUP("[S05_ContinuousEmissionsMeasurementDetail][4][InstallationIDN2O]",Submission!$O:$O,Submission!$H:$N,""))</f>
        <v/>
      </c>
      <c r="F1330" s="260"/>
      <c r="G1330" s="127" t="str">
        <f>_xlfn.CONCAT(_xlfn.XLOOKUP("[S05_ContinuousEmissionsMeasurementDetail][4][TotalEmissionsCO2E]",Submission!$O:$O,Submission!$H:$N,""))</f>
        <v>1563087.1125796</v>
      </c>
      <c r="H1330" s="127" t="str">
        <f>_xlfn.CONCAT(_xlfn.XLOOKUP("[S05_ContinuousEmissionsMeasurementDetail][4][ContinuousMeasurementTotalEmissions]",Submission!$O:$O,Submission!$H:$N,""))</f>
        <v>1563086.56332076</v>
      </c>
      <c r="I1330" s="72" t="str">
        <f>_xlfn.CONCAT(_xlfn.XLOOKUP("[S05_ContinuousEmissionsMeasurementDetail][4][FlueGasContainBiomass]",Submission!$O:$O,Submission!$H:$N,""))</f>
        <v>No</v>
      </c>
    </row>
    <row r="1331" spans="1:9" ht="15.9" customHeight="1" x14ac:dyDescent="0.3">
      <c r="A1331" s="13"/>
      <c r="B1331" s="23"/>
      <c r="C1331" s="258" t="str">
        <f>_xlfn.CONCAT(_xlfn.XLOOKUP("[S05_ContinuousEmissionsMeasurementDetail][5][InstallationIDCO2]",Submission!$O:$O,Submission!$H:$N,""))</f>
        <v>CZ-151</v>
      </c>
      <c r="D1331" s="260"/>
      <c r="E1331" s="258" t="str">
        <f>_xlfn.CONCAT(_xlfn.XLOOKUP("[S05_ContinuousEmissionsMeasurementDetail][5][InstallationIDN2O]",Submission!$O:$O,Submission!$H:$N,""))</f>
        <v/>
      </c>
      <c r="F1331" s="260"/>
      <c r="G1331" s="127" t="str">
        <f>_xlfn.CONCAT(_xlfn.XLOOKUP("[S05_ContinuousEmissionsMeasurementDetail][5][TotalEmissionsCO2E]",Submission!$O:$O,Submission!$H:$N,""))</f>
        <v>474975.799460737</v>
      </c>
      <c r="H1331" s="127" t="str">
        <f>_xlfn.CONCAT(_xlfn.XLOOKUP("[S05_ContinuousEmissionsMeasurementDetail][5][ContinuousMeasurementTotalEmissions]",Submission!$O:$O,Submission!$H:$N,""))</f>
        <v>464370.867768947</v>
      </c>
      <c r="I1331" s="72" t="str">
        <f>_xlfn.CONCAT(_xlfn.XLOOKUP("[S05_ContinuousEmissionsMeasurementDetail][5][FlueGasContainBiomass]",Submission!$O:$O,Submission!$H:$N,""))</f>
        <v>Yes</v>
      </c>
    </row>
    <row r="1332" spans="1:9" ht="15.9" customHeight="1" x14ac:dyDescent="0.3">
      <c r="A1332" s="13"/>
      <c r="B1332" s="23"/>
      <c r="C1332" s="258" t="str">
        <f>_xlfn.CONCAT(_xlfn.XLOOKUP("[S05_ContinuousEmissionsMeasurementDetail][6][InstallationIDCO2]",Submission!$O:$O,Submission!$H:$N,""))</f>
        <v>CZ-118</v>
      </c>
      <c r="D1332" s="260"/>
      <c r="E1332" s="258" t="str">
        <f>_xlfn.CONCAT(_xlfn.XLOOKUP("[S05_ContinuousEmissionsMeasurementDetail][6][InstallationIDN2O]",Submission!$O:$O,Submission!$H:$N,""))</f>
        <v/>
      </c>
      <c r="F1332" s="260"/>
      <c r="G1332" s="127" t="str">
        <f>_xlfn.CONCAT(_xlfn.XLOOKUP("[S05_ContinuousEmissionsMeasurementDetail][6][TotalEmissionsCO2E]",Submission!$O:$O,Submission!$H:$N,""))</f>
        <v>1165575.79974361</v>
      </c>
      <c r="H1332" s="127" t="str">
        <f>_xlfn.CONCAT(_xlfn.XLOOKUP("[S05_ContinuousEmissionsMeasurementDetail][6][ContinuousMeasurementTotalEmissions]",Submission!$O:$O,Submission!$H:$N,""))</f>
        <v>1149014.07221807</v>
      </c>
      <c r="I1332" s="72" t="str">
        <f>_xlfn.CONCAT(_xlfn.XLOOKUP("[S05_ContinuousEmissionsMeasurementDetail][6][FlueGasContainBiomass]",Submission!$O:$O,Submission!$H:$N,""))</f>
        <v>No</v>
      </c>
    </row>
    <row r="1333" spans="1:9" ht="15.9" customHeight="1" x14ac:dyDescent="0.3">
      <c r="A1333" s="13"/>
      <c r="B1333" s="23"/>
      <c r="C1333" s="258" t="str">
        <f>_xlfn.CONCAT(_xlfn.XLOOKUP("[S05_ContinuousEmissionsMeasurementDetail][7][InstallationIDCO2]",Submission!$O:$O,Submission!$H:$N,""))</f>
        <v>CZ-120</v>
      </c>
      <c r="D1333" s="260"/>
      <c r="E1333" s="258" t="str">
        <f>_xlfn.CONCAT(_xlfn.XLOOKUP("[S05_ContinuousEmissionsMeasurementDetail][7][InstallationIDN2O]",Submission!$O:$O,Submission!$H:$N,""))</f>
        <v/>
      </c>
      <c r="F1333" s="260"/>
      <c r="G1333" s="127" t="str">
        <f>_xlfn.CONCAT(_xlfn.XLOOKUP("[S05_ContinuousEmissionsMeasurementDetail][7][TotalEmissionsCO2E]",Submission!$O:$O,Submission!$H:$N,""))</f>
        <v>3398295.00641533</v>
      </c>
      <c r="H1333" s="127" t="str">
        <f>_xlfn.CONCAT(_xlfn.XLOOKUP("[S05_ContinuousEmissionsMeasurementDetail][7][ContinuousMeasurementTotalEmissions]",Submission!$O:$O,Submission!$H:$N,""))</f>
        <v>3397648.9180313</v>
      </c>
      <c r="I1333" s="72" t="str">
        <f>_xlfn.CONCAT(_xlfn.XLOOKUP("[S05_ContinuousEmissionsMeasurementDetail][7][FlueGasContainBiomass]",Submission!$O:$O,Submission!$H:$N,""))</f>
        <v>No</v>
      </c>
    </row>
    <row r="1334" spans="1:9" ht="15.9" customHeight="1" x14ac:dyDescent="0.3">
      <c r="A1334" s="13"/>
      <c r="B1334" s="23"/>
      <c r="C1334" s="258" t="str">
        <f>_xlfn.CONCAT(_xlfn.XLOOKUP("[S05_ContinuousEmissionsMeasurementDetail][8][InstallationIDCO2]",Submission!$O:$O,Submission!$H:$N,""))</f>
        <v>CZ-121</v>
      </c>
      <c r="D1334" s="260"/>
      <c r="E1334" s="258" t="str">
        <f>_xlfn.CONCAT(_xlfn.XLOOKUP("[S05_ContinuousEmissionsMeasurementDetail][8][InstallationIDN2O]",Submission!$O:$O,Submission!$H:$N,""))</f>
        <v/>
      </c>
      <c r="F1334" s="260"/>
      <c r="G1334" s="127" t="str">
        <f>_xlfn.CONCAT(_xlfn.XLOOKUP("[S05_ContinuousEmissionsMeasurementDetail][8][TotalEmissionsCO2E]",Submission!$O:$O,Submission!$H:$N,""))</f>
        <v>3781199.16968711</v>
      </c>
      <c r="H1334" s="127" t="str">
        <f>_xlfn.CONCAT(_xlfn.XLOOKUP("[S05_ContinuousEmissionsMeasurementDetail][8][ContinuousMeasurementTotalEmissions]",Submission!$O:$O,Submission!$H:$N,""))</f>
        <v>628728.227514087</v>
      </c>
      <c r="I1334" s="72" t="str">
        <f>_xlfn.CONCAT(_xlfn.XLOOKUP("[S05_ContinuousEmissionsMeasurementDetail][8][FlueGasContainBiomass]",Submission!$O:$O,Submission!$H:$N,""))</f>
        <v>No</v>
      </c>
    </row>
    <row r="1335" spans="1:9" ht="15.9" hidden="1" customHeight="1" outlineLevel="1" x14ac:dyDescent="0.3">
      <c r="A1335" s="13"/>
      <c r="B1335" s="23"/>
      <c r="C1335" s="258" t="str">
        <f>_xlfn.CONCAT(_xlfn.XLOOKUP("[S05_ContinuousEmissionsMeasurementDetail][9][InstallationIDCO2]",Submission!$O:$O,Submission!$H:$N,""))</f>
        <v>CZ-122</v>
      </c>
      <c r="D1335" s="260"/>
      <c r="E1335" s="258" t="str">
        <f>_xlfn.CONCAT(_xlfn.XLOOKUP("[S05_ContinuousEmissionsMeasurementDetail][9][InstallationIDN2O]",Submission!$O:$O,Submission!$H:$N,""))</f>
        <v/>
      </c>
      <c r="F1335" s="260"/>
      <c r="G1335" s="127" t="str">
        <f>_xlfn.CONCAT(_xlfn.XLOOKUP("[S05_ContinuousEmissionsMeasurementDetail][9][TotalEmissionsCO2E]",Submission!$O:$O,Submission!$H:$N,""))</f>
        <v>679985.386515113</v>
      </c>
      <c r="H1335" s="127" t="str">
        <f>_xlfn.CONCAT(_xlfn.XLOOKUP("[S05_ContinuousEmissionsMeasurementDetail][9][ContinuousMeasurementTotalEmissions]",Submission!$O:$O,Submission!$H:$N,""))</f>
        <v>679981.175530673</v>
      </c>
      <c r="I1335" s="72" t="str">
        <f>_xlfn.CONCAT(_xlfn.XLOOKUP("[S05_ContinuousEmissionsMeasurementDetail][9][FlueGasContainBiomass]",Submission!$O:$O,Submission!$H:$N,""))</f>
        <v>No</v>
      </c>
    </row>
    <row r="1336" spans="1:9" ht="15.9" hidden="1" customHeight="1" outlineLevel="1" x14ac:dyDescent="0.3">
      <c r="A1336" s="13"/>
      <c r="B1336" s="23"/>
      <c r="C1336" s="258" t="str">
        <f>_xlfn.CONCAT(_xlfn.XLOOKUP("[S05_ContinuousEmissionsMeasurementDetail][10][InstallationIDCO2]",Submission!$O:$O,Submission!$H:$N,""))</f>
        <v>CZ-123</v>
      </c>
      <c r="D1336" s="260"/>
      <c r="E1336" s="258" t="str">
        <f>_xlfn.CONCAT(_xlfn.XLOOKUP("[S05_ContinuousEmissionsMeasurementDetail][10][InstallationIDN2O]",Submission!$O:$O,Submission!$H:$N,""))</f>
        <v/>
      </c>
      <c r="F1336" s="260"/>
      <c r="G1336" s="127" t="str">
        <f>_xlfn.CONCAT(_xlfn.XLOOKUP("[S05_ContinuousEmissionsMeasurementDetail][10][TotalEmissionsCO2E]",Submission!$O:$O,Submission!$H:$N,""))</f>
        <v>147331.010961106</v>
      </c>
      <c r="H1336" s="127" t="str">
        <f>_xlfn.CONCAT(_xlfn.XLOOKUP("[S05_ContinuousEmissionsMeasurementDetail][10][ContinuousMeasurementTotalEmissions]",Submission!$O:$O,Submission!$H:$N,""))</f>
        <v>147331.010961106</v>
      </c>
      <c r="I1336" s="72" t="str">
        <f>_xlfn.CONCAT(_xlfn.XLOOKUP("[S05_ContinuousEmissionsMeasurementDetail][10][FlueGasContainBiomass]",Submission!$O:$O,Submission!$H:$N,""))</f>
        <v>No</v>
      </c>
    </row>
    <row r="1337" spans="1:9" ht="15.9" hidden="1" customHeight="1" outlineLevel="1" x14ac:dyDescent="0.3">
      <c r="A1337" s="13"/>
      <c r="B1337" s="23"/>
      <c r="C1337" s="258" t="str">
        <f>_xlfn.CONCAT(_xlfn.XLOOKUP("[S05_ContinuousEmissionsMeasurementDetail][11][InstallationIDCO2]",Submission!$O:$O,Submission!$H:$N,""))</f>
        <v>CZ-124</v>
      </c>
      <c r="D1337" s="260"/>
      <c r="E1337" s="258" t="str">
        <f>_xlfn.CONCAT(_xlfn.XLOOKUP("[S05_ContinuousEmissionsMeasurementDetail][11][InstallationIDN2O]",Submission!$O:$O,Submission!$H:$N,""))</f>
        <v/>
      </c>
      <c r="F1337" s="260"/>
      <c r="G1337" s="127" t="str">
        <f>_xlfn.CONCAT(_xlfn.XLOOKUP("[S05_ContinuousEmissionsMeasurementDetail][11][TotalEmissionsCO2E]",Submission!$O:$O,Submission!$H:$N,""))</f>
        <v>4419807.07066322</v>
      </c>
      <c r="H1337" s="127" t="str">
        <f>_xlfn.CONCAT(_xlfn.XLOOKUP("[S05_ContinuousEmissionsMeasurementDetail][11][ContinuousMeasurementTotalEmissions]",Submission!$O:$O,Submission!$H:$N,""))</f>
        <v>4419806.19942506</v>
      </c>
      <c r="I1337" s="72" t="str">
        <f>_xlfn.CONCAT(_xlfn.XLOOKUP("[S05_ContinuousEmissionsMeasurementDetail][11][FlueGasContainBiomass]",Submission!$O:$O,Submission!$H:$N,""))</f>
        <v>No</v>
      </c>
    </row>
    <row r="1338" spans="1:9" ht="15.9" hidden="1" customHeight="1" outlineLevel="1" x14ac:dyDescent="0.3">
      <c r="A1338" s="13"/>
      <c r="B1338" s="23"/>
      <c r="C1338" s="258" t="str">
        <f>_xlfn.CONCAT(_xlfn.XLOOKUP("[S05_ContinuousEmissionsMeasurementDetail][12][InstallationIDCO2]",Submission!$O:$O,Submission!$H:$N,""))</f>
        <v>CZ-125</v>
      </c>
      <c r="D1338" s="260"/>
      <c r="E1338" s="258" t="str">
        <f>_xlfn.CONCAT(_xlfn.XLOOKUP("[S05_ContinuousEmissionsMeasurementDetail][12][InstallationIDN2O]",Submission!$O:$O,Submission!$H:$N,""))</f>
        <v/>
      </c>
      <c r="F1338" s="260"/>
      <c r="G1338" s="127" t="str">
        <f>_xlfn.CONCAT(_xlfn.XLOOKUP("[S05_ContinuousEmissionsMeasurementDetail][12][TotalEmissionsCO2E]",Submission!$O:$O,Submission!$H:$N,""))</f>
        <v>703432.797814517</v>
      </c>
      <c r="H1338" s="127" t="str">
        <f>_xlfn.CONCAT(_xlfn.XLOOKUP("[S05_ContinuousEmissionsMeasurementDetail][12][ContinuousMeasurementTotalEmissions]",Submission!$O:$O,Submission!$H:$N,""))</f>
        <v>341517.386288177</v>
      </c>
      <c r="I1338" s="72" t="str">
        <f>_xlfn.CONCAT(_xlfn.XLOOKUP("[S05_ContinuousEmissionsMeasurementDetail][12][FlueGasContainBiomass]",Submission!$O:$O,Submission!$H:$N,""))</f>
        <v>Yes</v>
      </c>
    </row>
    <row r="1339" spans="1:9" ht="15.9" hidden="1" customHeight="1" outlineLevel="1" x14ac:dyDescent="0.3">
      <c r="A1339" s="13"/>
      <c r="B1339" s="23"/>
      <c r="C1339" s="258" t="str">
        <f>_xlfn.CONCAT(_xlfn.XLOOKUP("[S05_ContinuousEmissionsMeasurementDetail][13][InstallationIDCO2]",Submission!$O:$O,Submission!$H:$N,""))</f>
        <v>CZ-128</v>
      </c>
      <c r="D1339" s="260"/>
      <c r="E1339" s="258" t="str">
        <f>_xlfn.CONCAT(_xlfn.XLOOKUP("[S05_ContinuousEmissionsMeasurementDetail][13][InstallationIDN2O]",Submission!$O:$O,Submission!$H:$N,""))</f>
        <v/>
      </c>
      <c r="F1339" s="260"/>
      <c r="G1339" s="127" t="str">
        <f>_xlfn.CONCAT(_xlfn.XLOOKUP("[S05_ContinuousEmissionsMeasurementDetail][13][TotalEmissionsCO2E]",Submission!$O:$O,Submission!$H:$N,""))</f>
        <v>766849.214183407</v>
      </c>
      <c r="H1339" s="127" t="str">
        <f>_xlfn.CONCAT(_xlfn.XLOOKUP("[S05_ContinuousEmissionsMeasurementDetail][13][ContinuousMeasurementTotalEmissions]",Submission!$O:$O,Submission!$H:$N,""))</f>
        <v>761789.062408526</v>
      </c>
      <c r="I1339" s="72" t="str">
        <f>_xlfn.CONCAT(_xlfn.XLOOKUP("[S05_ContinuousEmissionsMeasurementDetail][13][FlueGasContainBiomass]",Submission!$O:$O,Submission!$H:$N,""))</f>
        <v>Yes</v>
      </c>
    </row>
    <row r="1340" spans="1:9" ht="15.9" hidden="1" customHeight="1" outlineLevel="1" x14ac:dyDescent="0.3">
      <c r="A1340" s="13"/>
      <c r="B1340" s="23"/>
      <c r="C1340" s="258" t="str">
        <f>_xlfn.CONCAT(_xlfn.XLOOKUP("[S05_ContinuousEmissionsMeasurementDetail][14][InstallationIDCO2]",Submission!$O:$O,Submission!$H:$N,""))</f>
        <v>CZ-129</v>
      </c>
      <c r="D1340" s="260"/>
      <c r="E1340" s="258" t="str">
        <f>_xlfn.CONCAT(_xlfn.XLOOKUP("[S05_ContinuousEmissionsMeasurementDetail][14][InstallationIDN2O]",Submission!$O:$O,Submission!$H:$N,""))</f>
        <v/>
      </c>
      <c r="F1340" s="260"/>
      <c r="G1340" s="127" t="str">
        <f>_xlfn.CONCAT(_xlfn.XLOOKUP("[S05_ContinuousEmissionsMeasurementDetail][14][TotalEmissionsCO2E]",Submission!$O:$O,Submission!$H:$N,""))</f>
        <v>3399409.72255377</v>
      </c>
      <c r="H1340" s="127" t="str">
        <f>_xlfn.CONCAT(_xlfn.XLOOKUP("[S05_ContinuousEmissionsMeasurementDetail][14][ContinuousMeasurementTotalEmissions]",Submission!$O:$O,Submission!$H:$N,""))</f>
        <v>3399403.85116617</v>
      </c>
      <c r="I1340" s="72" t="str">
        <f>_xlfn.CONCAT(_xlfn.XLOOKUP("[S05_ContinuousEmissionsMeasurementDetail][14][FlueGasContainBiomass]",Submission!$O:$O,Submission!$H:$N,""))</f>
        <v>No</v>
      </c>
    </row>
    <row r="1341" spans="1:9" ht="15.9" hidden="1" customHeight="1" outlineLevel="1" x14ac:dyDescent="0.3">
      <c r="A1341" s="13"/>
      <c r="B1341" s="23"/>
      <c r="C1341" s="258" t="str">
        <f>_xlfn.CONCAT(_xlfn.XLOOKUP("[S05_ContinuousEmissionsMeasurementDetail][15][InstallationIDCO2]",Submission!$O:$O,Submission!$H:$N,""))</f>
        <v>CZ-126</v>
      </c>
      <c r="D1341" s="260"/>
      <c r="E1341" s="258" t="str">
        <f>_xlfn.CONCAT(_xlfn.XLOOKUP("[S05_ContinuousEmissionsMeasurementDetail][15][InstallationIDN2O]",Submission!$O:$O,Submission!$H:$N,""))</f>
        <v/>
      </c>
      <c r="F1341" s="260"/>
      <c r="G1341" s="127" t="str">
        <f>_xlfn.CONCAT(_xlfn.XLOOKUP("[S05_ContinuousEmissionsMeasurementDetail][15][TotalEmissionsCO2E]",Submission!$O:$O,Submission!$H:$N,""))</f>
        <v>0</v>
      </c>
      <c r="H1341" s="127" t="str">
        <f>_xlfn.CONCAT(_xlfn.XLOOKUP("[S05_ContinuousEmissionsMeasurementDetail][15][ContinuousMeasurementTotalEmissions]",Submission!$O:$O,Submission!$H:$N,""))</f>
        <v>0</v>
      </c>
      <c r="I1341" s="72" t="str">
        <f>_xlfn.CONCAT(_xlfn.XLOOKUP("[S05_ContinuousEmissionsMeasurementDetail][15][FlueGasContainBiomass]",Submission!$O:$O,Submission!$H:$N,""))</f>
        <v>No</v>
      </c>
    </row>
    <row r="1342" spans="1:9" ht="15.9" hidden="1" customHeight="1" outlineLevel="1" x14ac:dyDescent="0.3">
      <c r="A1342" s="13"/>
      <c r="B1342" s="23"/>
      <c r="C1342" s="258" t="str">
        <f>_xlfn.CONCAT(_xlfn.XLOOKUP("[S05_ContinuousEmissionsMeasurementDetail][16][InstallationIDCO2]",Submission!$O:$O,Submission!$H:$N,""))</f>
        <v>CZ-157</v>
      </c>
      <c r="D1342" s="260"/>
      <c r="E1342" s="258" t="str">
        <f>_xlfn.CONCAT(_xlfn.XLOOKUP("[S05_ContinuousEmissionsMeasurementDetail][16][InstallationIDN2O]",Submission!$O:$O,Submission!$H:$N,""))</f>
        <v/>
      </c>
      <c r="F1342" s="260"/>
      <c r="G1342" s="127" t="str">
        <f>_xlfn.CONCAT(_xlfn.XLOOKUP("[S05_ContinuousEmissionsMeasurementDetail][16][TotalEmissionsCO2E]",Submission!$O:$O,Submission!$H:$N,""))</f>
        <v>3494895.41723201</v>
      </c>
      <c r="H1342" s="127" t="str">
        <f>_xlfn.CONCAT(_xlfn.XLOOKUP("[S05_ContinuousEmissionsMeasurementDetail][16][ContinuousMeasurementTotalEmissions]",Submission!$O:$O,Submission!$H:$N,""))</f>
        <v>3494889.06287543</v>
      </c>
      <c r="I1342" s="72" t="str">
        <f>_xlfn.CONCAT(_xlfn.XLOOKUP("[S05_ContinuousEmissionsMeasurementDetail][16][FlueGasContainBiomass]",Submission!$O:$O,Submission!$H:$N,""))</f>
        <v>No</v>
      </c>
    </row>
    <row r="1343" spans="1:9" ht="15.9" hidden="1" customHeight="1" outlineLevel="1" x14ac:dyDescent="0.3">
      <c r="A1343" s="13"/>
      <c r="B1343" s="23"/>
      <c r="C1343" s="258" t="str">
        <f>_xlfn.CONCAT(_xlfn.XLOOKUP("[S05_ContinuousEmissionsMeasurementDetail][17][InstallationIDCO2]",Submission!$O:$O,Submission!$H:$N,""))</f>
        <v>CZ-245</v>
      </c>
      <c r="D1343" s="260"/>
      <c r="E1343" s="258" t="str">
        <f>_xlfn.CONCAT(_xlfn.XLOOKUP("[S05_ContinuousEmissionsMeasurementDetail][17][InstallationIDN2O]",Submission!$O:$O,Submission!$H:$N,""))</f>
        <v/>
      </c>
      <c r="F1343" s="260"/>
      <c r="G1343" s="127" t="str">
        <f>_xlfn.CONCAT(_xlfn.XLOOKUP("[S05_ContinuousEmissionsMeasurementDetail][17][TotalEmissionsCO2E]",Submission!$O:$O,Submission!$H:$N,""))</f>
        <v>298958.614852613</v>
      </c>
      <c r="H1343" s="127" t="str">
        <f>_xlfn.CONCAT(_xlfn.XLOOKUP("[S05_ContinuousEmissionsMeasurementDetail][17][ContinuousMeasurementTotalEmissions]",Submission!$O:$O,Submission!$H:$N,""))</f>
        <v>297296.942785152</v>
      </c>
      <c r="I1343" s="72" t="str">
        <f>_xlfn.CONCAT(_xlfn.XLOOKUP("[S05_ContinuousEmissionsMeasurementDetail][17][FlueGasContainBiomass]",Submission!$O:$O,Submission!$H:$N,""))</f>
        <v>No</v>
      </c>
    </row>
    <row r="1344" spans="1:9" ht="15.9" hidden="1" customHeight="1" outlineLevel="1" x14ac:dyDescent="0.3">
      <c r="A1344" s="13"/>
      <c r="B1344" s="23"/>
      <c r="C1344" s="258" t="str">
        <f>_xlfn.CONCAT(_xlfn.XLOOKUP("[S05_ContinuousEmissionsMeasurementDetail][18][InstallationIDCO2]",Submission!$O:$O,Submission!$H:$N,""))</f>
        <v>CZ-119</v>
      </c>
      <c r="D1344" s="260"/>
      <c r="E1344" s="258" t="str">
        <f>_xlfn.CONCAT(_xlfn.XLOOKUP("[S05_ContinuousEmissionsMeasurementDetail][18][InstallationIDN2O]",Submission!$O:$O,Submission!$H:$N,""))</f>
        <v/>
      </c>
      <c r="F1344" s="260"/>
      <c r="G1344" s="127" t="str">
        <f>_xlfn.CONCAT(_xlfn.XLOOKUP("[S05_ContinuousEmissionsMeasurementDetail][18][TotalEmissionsCO2E]",Submission!$O:$O,Submission!$H:$N,""))</f>
        <v>444954.633661564</v>
      </c>
      <c r="H1344" s="127" t="str">
        <f>_xlfn.CONCAT(_xlfn.XLOOKUP("[S05_ContinuousEmissionsMeasurementDetail][18][ContinuousMeasurementTotalEmissions]",Submission!$O:$O,Submission!$H:$N,""))</f>
        <v>29227.1657792861</v>
      </c>
      <c r="I1344" s="72" t="str">
        <f>_xlfn.CONCAT(_xlfn.XLOOKUP("[S05_ContinuousEmissionsMeasurementDetail][18][FlueGasContainBiomass]",Submission!$O:$O,Submission!$H:$N,""))</f>
        <v>Yes</v>
      </c>
    </row>
    <row r="1345" spans="1:9" ht="15.9" hidden="1" customHeight="1" outlineLevel="1" x14ac:dyDescent="0.3">
      <c r="A1345" s="13"/>
      <c r="B1345" s="23"/>
      <c r="C1345" s="258" t="str">
        <f>_xlfn.CONCAT(_xlfn.XLOOKUP("[S05_ContinuousEmissionsMeasurementDetail][19][InstallationIDCO2]",Submission!$O:$O,Submission!$H:$N,""))</f>
        <v/>
      </c>
      <c r="D1345" s="260"/>
      <c r="E1345" s="258" t="str">
        <f>_xlfn.CONCAT(_xlfn.XLOOKUP("[S05_ContinuousEmissionsMeasurementDetail][19][InstallationIDN2O]",Submission!$O:$O,Submission!$H:$N,""))</f>
        <v>CZ-106</v>
      </c>
      <c r="F1345" s="260"/>
      <c r="G1345" s="127" t="str">
        <f>_xlfn.CONCAT(_xlfn.XLOOKUP("[S05_ContinuousEmissionsMeasurementDetail][19][TotalEmissionsCO2E]",Submission!$O:$O,Submission!$H:$N,""))</f>
        <v>237495.546182359</v>
      </c>
      <c r="H1345" s="127" t="str">
        <f>_xlfn.CONCAT(_xlfn.XLOOKUP("[S05_ContinuousEmissionsMeasurementDetail][19][ContinuousMeasurementTotalEmissions]",Submission!$O:$O,Submission!$H:$N,""))</f>
        <v>2791.42087647908</v>
      </c>
      <c r="I1345" s="72" t="str">
        <f>_xlfn.CONCAT(_xlfn.XLOOKUP("[S05_ContinuousEmissionsMeasurementDetail][19][FlueGasContainBiomass]",Submission!$O:$O,Submission!$H:$N,""))</f>
        <v>No</v>
      </c>
    </row>
    <row r="1346" spans="1:9" ht="15.9" hidden="1" customHeight="1" outlineLevel="1" x14ac:dyDescent="0.3">
      <c r="A1346" s="13"/>
      <c r="B1346" s="23"/>
      <c r="C1346" s="258" t="str">
        <f>_xlfn.CONCAT(_xlfn.XLOOKUP("[S05_ContinuousEmissionsMeasurementDetail][20][InstallationIDCO2]",Submission!$O:$O,Submission!$H:$N,""))</f>
        <v/>
      </c>
      <c r="D1346" s="260"/>
      <c r="E1346" s="258" t="str">
        <f>_xlfn.CONCAT(_xlfn.XLOOKUP("[S05_ContinuousEmissionsMeasurementDetail][20][InstallationIDN2O]",Submission!$O:$O,Submission!$H:$N,""))</f>
        <v>CZ-107</v>
      </c>
      <c r="F1346" s="260"/>
      <c r="G1346" s="127" t="str">
        <f>_xlfn.CONCAT(_xlfn.XLOOKUP("[S05_ContinuousEmissionsMeasurementDetail][20][TotalEmissionsCO2E]",Submission!$O:$O,Submission!$H:$N,""))</f>
        <v>92307.6673533105</v>
      </c>
      <c r="H1346" s="127" t="str">
        <f>_xlfn.CONCAT(_xlfn.XLOOKUP("[S05_ContinuousEmissionsMeasurementDetail][20][ContinuousMeasurementTotalEmissions]",Submission!$O:$O,Submission!$H:$N,""))</f>
        <v>90155.96439494</v>
      </c>
      <c r="I1346" s="72" t="str">
        <f>_xlfn.CONCAT(_xlfn.XLOOKUP("[S05_ContinuousEmissionsMeasurementDetail][20][FlueGasContainBiomass]",Submission!$O:$O,Submission!$H:$N,""))</f>
        <v>No</v>
      </c>
    </row>
    <row r="1347" spans="1:9" ht="15.9" hidden="1" customHeight="1" outlineLevel="1" x14ac:dyDescent="0.3">
      <c r="A1347" s="13"/>
      <c r="B1347" s="23"/>
      <c r="C1347" s="258" t="str">
        <f>_xlfn.CONCAT(_xlfn.XLOOKUP("[S05_ContinuousEmissionsMeasurementDetail][21][InstallationIDCO2]",Submission!$O:$O,Submission!$H:$N,""))</f>
        <v/>
      </c>
      <c r="D1347" s="260"/>
      <c r="E1347" s="258" t="str">
        <f>_xlfn.CONCAT(_xlfn.XLOOKUP("[S05_ContinuousEmissionsMeasurementDetail][21][InstallationIDN2O]",Submission!$O:$O,Submission!$H:$N,""))</f>
        <v>CZ-201865</v>
      </c>
      <c r="F1347" s="260"/>
      <c r="G1347" s="127" t="str">
        <f>_xlfn.CONCAT(_xlfn.XLOOKUP("[S05_ContinuousEmissionsMeasurementDetail][21][TotalEmissionsCO2E]",Submission!$O:$O,Submission!$H:$N,""))</f>
        <v>150934.334654427</v>
      </c>
      <c r="H1347" s="127" t="str">
        <f>_xlfn.CONCAT(_xlfn.XLOOKUP("[S05_ContinuousEmissionsMeasurementDetail][21][ContinuousMeasurementTotalEmissions]",Submission!$O:$O,Submission!$H:$N,""))</f>
        <v>23438.9239249571</v>
      </c>
      <c r="I1347" s="72" t="str">
        <f>_xlfn.CONCAT(_xlfn.XLOOKUP("[S05_ContinuousEmissionsMeasurementDetail][21][FlueGasContainBiomass]",Submission!$O:$O,Submission!$H:$N,""))</f>
        <v>No</v>
      </c>
    </row>
    <row r="1348" spans="1:9" ht="15.9" hidden="1" customHeight="1" outlineLevel="1" x14ac:dyDescent="0.3">
      <c r="A1348" s="13"/>
      <c r="B1348" s="23"/>
      <c r="C1348" s="258" t="str">
        <f>_xlfn.CONCAT(_xlfn.XLOOKUP("[S05_ContinuousEmissionsMeasurementDetail][22][InstallationIDCO2]",Submission!$O:$O,Submission!$H:$N,""))</f>
        <v/>
      </c>
      <c r="D1348" s="260"/>
      <c r="E1348" s="258" t="str">
        <f>_xlfn.CONCAT(_xlfn.XLOOKUP("[S05_ContinuousEmissionsMeasurementDetail][22][InstallationIDN2O]",Submission!$O:$O,Submission!$H:$N,""))</f>
        <v>CZ-22</v>
      </c>
      <c r="F1348" s="260"/>
      <c r="G1348" s="127" t="str">
        <f>_xlfn.CONCAT(_xlfn.XLOOKUP("[S05_ContinuousEmissionsMeasurementDetail][22][TotalEmissionsCO2E]",Submission!$O:$O,Submission!$H:$N,""))</f>
        <v>229517.905120831</v>
      </c>
      <c r="H1348" s="127" t="str">
        <f>_xlfn.CONCAT(_xlfn.XLOOKUP("[S05_ContinuousEmissionsMeasurementDetail][22][ContinuousMeasurementTotalEmissions]",Submission!$O:$O,Submission!$H:$N,""))</f>
        <v>4719.5</v>
      </c>
      <c r="I1348" s="72" t="str">
        <f>_xlfn.CONCAT(_xlfn.XLOOKUP("[S05_ContinuousEmissionsMeasurementDetail][22][FlueGasContainBiomass]",Submission!$O:$O,Submission!$H:$N,""))</f>
        <v>No</v>
      </c>
    </row>
    <row r="1349" spans="1:9" ht="15.9" hidden="1" customHeight="1" outlineLevel="1" x14ac:dyDescent="0.3">
      <c r="A1349" s="13"/>
      <c r="B1349" s="23"/>
      <c r="C1349" s="258" t="str">
        <f>_xlfn.CONCAT(_xlfn.XLOOKUP("[S05_ContinuousEmissionsMeasurementDetail][23][InstallationIDCO2]",Submission!$O:$O,Submission!$H:$N,""))</f>
        <v/>
      </c>
      <c r="D1349" s="260"/>
      <c r="E1349" s="258" t="str">
        <f>_xlfn.CONCAT(_xlfn.XLOOKUP("[S05_ContinuousEmissionsMeasurementDetail][23][InstallationIDN2O]",Submission!$O:$O,Submission!$H:$N,""))</f>
        <v/>
      </c>
      <c r="F1349" s="260"/>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58" t="str">
        <f>_xlfn.CONCAT(_xlfn.XLOOKUP("[S05_ContinuousEmissionsMeasurementDetail][24][InstallationIDCO2]",Submission!$O:$O,Submission!$H:$N,""))</f>
        <v/>
      </c>
      <c r="D1350" s="260"/>
      <c r="E1350" s="258" t="str">
        <f>_xlfn.CONCAT(_xlfn.XLOOKUP("[S05_ContinuousEmissionsMeasurementDetail][24][InstallationIDN2O]",Submission!$O:$O,Submission!$H:$N,""))</f>
        <v/>
      </c>
      <c r="F1350" s="260"/>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58" t="str">
        <f>_xlfn.CONCAT(_xlfn.XLOOKUP("[S05_ContinuousEmissionsMeasurementDetail][25][InstallationIDCO2]",Submission!$O:$O,Submission!$H:$N,""))</f>
        <v/>
      </c>
      <c r="D1351" s="260"/>
      <c r="E1351" s="258" t="str">
        <f>_xlfn.CONCAT(_xlfn.XLOOKUP("[S05_ContinuousEmissionsMeasurementDetail][25][InstallationIDN2O]",Submission!$O:$O,Submission!$H:$N,""))</f>
        <v/>
      </c>
      <c r="F1351" s="260"/>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58" t="str">
        <f>_xlfn.CONCAT(_xlfn.XLOOKUP("[S05_ContinuousEmissionsMeasurementDetail][26][InstallationIDCO2]",Submission!$O:$O,Submission!$H:$N,""))</f>
        <v/>
      </c>
      <c r="D1352" s="260"/>
      <c r="E1352" s="258" t="str">
        <f>_xlfn.CONCAT(_xlfn.XLOOKUP("[S05_ContinuousEmissionsMeasurementDetail][26][InstallationIDN2O]",Submission!$O:$O,Submission!$H:$N,""))</f>
        <v/>
      </c>
      <c r="F1352" s="260"/>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58" t="str">
        <f>_xlfn.CONCAT(_xlfn.XLOOKUP("[S05_ContinuousEmissionsMeasurementDetail][27][InstallationIDCO2]",Submission!$O:$O,Submission!$H:$N,""))</f>
        <v/>
      </c>
      <c r="D1353" s="260"/>
      <c r="E1353" s="258" t="str">
        <f>_xlfn.CONCAT(_xlfn.XLOOKUP("[S05_ContinuousEmissionsMeasurementDetail][27][InstallationIDN2O]",Submission!$O:$O,Submission!$H:$N,""))</f>
        <v/>
      </c>
      <c r="F1353" s="260"/>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58" t="str">
        <f>_xlfn.CONCAT(_xlfn.XLOOKUP("[S05_ContinuousEmissionsMeasurementDetail][28][InstallationIDCO2]",Submission!$O:$O,Submission!$H:$N,""))</f>
        <v/>
      </c>
      <c r="D1354" s="260"/>
      <c r="E1354" s="258" t="str">
        <f>_xlfn.CONCAT(_xlfn.XLOOKUP("[S05_ContinuousEmissionsMeasurementDetail][28][InstallationIDN2O]",Submission!$O:$O,Submission!$H:$N,""))</f>
        <v/>
      </c>
      <c r="F1354" s="260"/>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58" t="str">
        <f>_xlfn.CONCAT(_xlfn.XLOOKUP("[S05_ContinuousEmissionsMeasurementDetail][29][InstallationIDCO2]",Submission!$O:$O,Submission!$H:$N,""))</f>
        <v/>
      </c>
      <c r="D1355" s="260"/>
      <c r="E1355" s="258" t="str">
        <f>_xlfn.CONCAT(_xlfn.XLOOKUP("[S05_ContinuousEmissionsMeasurementDetail][29][InstallationIDN2O]",Submission!$O:$O,Submission!$H:$N,""))</f>
        <v/>
      </c>
      <c r="F1355" s="260"/>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58" t="str">
        <f>_xlfn.CONCAT(_xlfn.XLOOKUP("[S05_ContinuousEmissionsMeasurementDetail][30][InstallationIDCO2]",Submission!$O:$O,Submission!$H:$N,""))</f>
        <v/>
      </c>
      <c r="D1356" s="260"/>
      <c r="E1356" s="258" t="str">
        <f>_xlfn.CONCAT(_xlfn.XLOOKUP("[S05_ContinuousEmissionsMeasurementDetail][30][InstallationIDN2O]",Submission!$O:$O,Submission!$H:$N,""))</f>
        <v/>
      </c>
      <c r="F1356" s="260"/>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58" t="str">
        <f>_xlfn.CONCAT(_xlfn.XLOOKUP("[S05_ContinuousEmissionsMeasurementDetail][31][InstallationIDCO2]",Submission!$O:$O,Submission!$H:$N,""))</f>
        <v/>
      </c>
      <c r="D1357" s="260"/>
      <c r="E1357" s="258" t="str">
        <f>_xlfn.CONCAT(_xlfn.XLOOKUP("[S05_ContinuousEmissionsMeasurementDetail][31][InstallationIDN2O]",Submission!$O:$O,Submission!$H:$N,""))</f>
        <v/>
      </c>
      <c r="F1357" s="260"/>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58" t="str">
        <f>_xlfn.CONCAT(_xlfn.XLOOKUP("[S05_ContinuousEmissionsMeasurementDetail][32][InstallationIDCO2]",Submission!$O:$O,Submission!$H:$N,""))</f>
        <v/>
      </c>
      <c r="D1358" s="260"/>
      <c r="E1358" s="258" t="str">
        <f>_xlfn.CONCAT(_xlfn.XLOOKUP("[S05_ContinuousEmissionsMeasurementDetail][32][InstallationIDN2O]",Submission!$O:$O,Submission!$H:$N,""))</f>
        <v/>
      </c>
      <c r="F1358" s="260"/>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58" t="str">
        <f>_xlfn.CONCAT(_xlfn.XLOOKUP("[S05_ContinuousEmissionsMeasurementDetail][33][InstallationIDCO2]",Submission!$O:$O,Submission!$H:$N,""))</f>
        <v/>
      </c>
      <c r="D1359" s="260"/>
      <c r="E1359" s="258" t="str">
        <f>_xlfn.CONCAT(_xlfn.XLOOKUP("[S05_ContinuousEmissionsMeasurementDetail][33][InstallationIDN2O]",Submission!$O:$O,Submission!$H:$N,""))</f>
        <v/>
      </c>
      <c r="F1359" s="260"/>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58" t="str">
        <f>_xlfn.CONCAT(_xlfn.XLOOKUP("[S05_ContinuousEmissionsMeasurementDetail][34][InstallationIDCO2]",Submission!$O:$O,Submission!$H:$N,""))</f>
        <v/>
      </c>
      <c r="D1360" s="260"/>
      <c r="E1360" s="258" t="str">
        <f>_xlfn.CONCAT(_xlfn.XLOOKUP("[S05_ContinuousEmissionsMeasurementDetail][34][InstallationIDN2O]",Submission!$O:$O,Submission!$H:$N,""))</f>
        <v/>
      </c>
      <c r="F1360" s="260"/>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58" t="str">
        <f>_xlfn.CONCAT(_xlfn.XLOOKUP("[S05_ContinuousEmissionsMeasurementDetail][35][InstallationIDCO2]",Submission!$O:$O,Submission!$H:$N,""))</f>
        <v/>
      </c>
      <c r="D1361" s="260"/>
      <c r="E1361" s="258" t="str">
        <f>_xlfn.CONCAT(_xlfn.XLOOKUP("[S05_ContinuousEmissionsMeasurementDetail][35][InstallationIDN2O]",Submission!$O:$O,Submission!$H:$N,""))</f>
        <v/>
      </c>
      <c r="F1361" s="260"/>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58" t="str">
        <f>_xlfn.CONCAT(_xlfn.XLOOKUP("[S05_ContinuousEmissionsMeasurementDetail][36][InstallationIDCO2]",Submission!$O:$O,Submission!$H:$N,""))</f>
        <v/>
      </c>
      <c r="D1362" s="260"/>
      <c r="E1362" s="258" t="str">
        <f>_xlfn.CONCAT(_xlfn.XLOOKUP("[S05_ContinuousEmissionsMeasurementDetail][36][InstallationIDN2O]",Submission!$O:$O,Submission!$H:$N,""))</f>
        <v/>
      </c>
      <c r="F1362" s="260"/>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58" t="str">
        <f>_xlfn.CONCAT(_xlfn.XLOOKUP("[S05_ContinuousEmissionsMeasurementDetail][37][InstallationIDCO2]",Submission!$O:$O,Submission!$H:$N,""))</f>
        <v/>
      </c>
      <c r="D1363" s="260"/>
      <c r="E1363" s="258" t="str">
        <f>_xlfn.CONCAT(_xlfn.XLOOKUP("[S05_ContinuousEmissionsMeasurementDetail][37][InstallationIDN2O]",Submission!$O:$O,Submission!$H:$N,""))</f>
        <v/>
      </c>
      <c r="F1363" s="260"/>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58" t="str">
        <f>_xlfn.CONCAT(_xlfn.XLOOKUP("[S05_ContinuousEmissionsMeasurementDetail][38][InstallationIDCO2]",Submission!$O:$O,Submission!$H:$N,""))</f>
        <v/>
      </c>
      <c r="D1364" s="260"/>
      <c r="E1364" s="258" t="str">
        <f>_xlfn.CONCAT(_xlfn.XLOOKUP("[S05_ContinuousEmissionsMeasurementDetail][38][InstallationIDN2O]",Submission!$O:$O,Submission!$H:$N,""))</f>
        <v/>
      </c>
      <c r="F1364" s="260"/>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58" t="str">
        <f>_xlfn.CONCAT(_xlfn.XLOOKUP("[S05_ContinuousEmissionsMeasurementDetail][39][InstallationIDCO2]",Submission!$O:$O,Submission!$H:$N,""))</f>
        <v/>
      </c>
      <c r="D1365" s="260"/>
      <c r="E1365" s="258" t="str">
        <f>_xlfn.CONCAT(_xlfn.XLOOKUP("[S05_ContinuousEmissionsMeasurementDetail][39][InstallationIDN2O]",Submission!$O:$O,Submission!$H:$N,""))</f>
        <v/>
      </c>
      <c r="F1365" s="260"/>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58" t="str">
        <f>_xlfn.CONCAT(_xlfn.XLOOKUP("[S05_ContinuousEmissionsMeasurementDetail][40][InstallationIDCO2]",Submission!$O:$O,Submission!$H:$N,""))</f>
        <v/>
      </c>
      <c r="D1366" s="260"/>
      <c r="E1366" s="258" t="str">
        <f>_xlfn.CONCAT(_xlfn.XLOOKUP("[S05_ContinuousEmissionsMeasurementDetail][40][InstallationIDN2O]",Submission!$O:$O,Submission!$H:$N,""))</f>
        <v/>
      </c>
      <c r="F1366" s="260"/>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58" t="str">
        <f>_xlfn.CONCAT(_xlfn.XLOOKUP("[S05_ContinuousEmissionsMeasurementDetail][41][InstallationIDCO2]",Submission!$O:$O,Submission!$H:$N,""))</f>
        <v/>
      </c>
      <c r="D1367" s="260"/>
      <c r="E1367" s="258" t="str">
        <f>_xlfn.CONCAT(_xlfn.XLOOKUP("[S05_ContinuousEmissionsMeasurementDetail][41][InstallationIDN2O]",Submission!$O:$O,Submission!$H:$N,""))</f>
        <v/>
      </c>
      <c r="F1367" s="260"/>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58" t="str">
        <f>_xlfn.CONCAT(_xlfn.XLOOKUP("[S05_ContinuousEmissionsMeasurementDetail][42][InstallationIDCO2]",Submission!$O:$O,Submission!$H:$N,""))</f>
        <v/>
      </c>
      <c r="D1368" s="260"/>
      <c r="E1368" s="258" t="str">
        <f>_xlfn.CONCAT(_xlfn.XLOOKUP("[S05_ContinuousEmissionsMeasurementDetail][42][InstallationIDN2O]",Submission!$O:$O,Submission!$H:$N,""))</f>
        <v/>
      </c>
      <c r="F1368" s="260"/>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58" t="str">
        <f>_xlfn.CONCAT(_xlfn.XLOOKUP("[S05_ContinuousEmissionsMeasurementDetail][43][InstallationIDCO2]",Submission!$O:$O,Submission!$H:$N,""))</f>
        <v/>
      </c>
      <c r="D1369" s="260"/>
      <c r="E1369" s="258" t="str">
        <f>_xlfn.CONCAT(_xlfn.XLOOKUP("[S05_ContinuousEmissionsMeasurementDetail][43][InstallationIDN2O]",Submission!$O:$O,Submission!$H:$N,""))</f>
        <v/>
      </c>
      <c r="F1369" s="260"/>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58" t="str">
        <f>_xlfn.CONCAT(_xlfn.XLOOKUP("[S05_ContinuousEmissionsMeasurementDetail][44][InstallationIDCO2]",Submission!$O:$O,Submission!$H:$N,""))</f>
        <v/>
      </c>
      <c r="D1370" s="260"/>
      <c r="E1370" s="258" t="str">
        <f>_xlfn.CONCAT(_xlfn.XLOOKUP("[S05_ContinuousEmissionsMeasurementDetail][44][InstallationIDN2O]",Submission!$O:$O,Submission!$H:$N,""))</f>
        <v/>
      </c>
      <c r="F1370" s="260"/>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58" t="str">
        <f>_xlfn.CONCAT(_xlfn.XLOOKUP("[S05_ContinuousEmissionsMeasurementDetail][45][InstallationIDCO2]",Submission!$O:$O,Submission!$H:$N,""))</f>
        <v/>
      </c>
      <c r="D1371" s="260"/>
      <c r="E1371" s="258" t="str">
        <f>_xlfn.CONCAT(_xlfn.XLOOKUP("[S05_ContinuousEmissionsMeasurementDetail][45][InstallationIDN2O]",Submission!$O:$O,Submission!$H:$N,""))</f>
        <v/>
      </c>
      <c r="F1371" s="260"/>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58" t="str">
        <f>_xlfn.CONCAT(_xlfn.XLOOKUP("[S05_ContinuousEmissionsMeasurementDetail][46][InstallationIDCO2]",Submission!$O:$O,Submission!$H:$N,""))</f>
        <v/>
      </c>
      <c r="D1372" s="260"/>
      <c r="E1372" s="258" t="str">
        <f>_xlfn.CONCAT(_xlfn.XLOOKUP("[S05_ContinuousEmissionsMeasurementDetail][46][InstallationIDN2O]",Submission!$O:$O,Submission!$H:$N,""))</f>
        <v/>
      </c>
      <c r="F1372" s="260"/>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58" t="str">
        <f>_xlfn.CONCAT(_xlfn.XLOOKUP("[S05_ContinuousEmissionsMeasurementDetail][47][InstallationIDCO2]",Submission!$O:$O,Submission!$H:$N,""))</f>
        <v/>
      </c>
      <c r="D1373" s="260"/>
      <c r="E1373" s="258" t="str">
        <f>_xlfn.CONCAT(_xlfn.XLOOKUP("[S05_ContinuousEmissionsMeasurementDetail][47][InstallationIDN2O]",Submission!$O:$O,Submission!$H:$N,""))</f>
        <v/>
      </c>
      <c r="F1373" s="260"/>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58" t="str">
        <f>_xlfn.CONCAT(_xlfn.XLOOKUP("[S05_ContinuousEmissionsMeasurementDetail][48][InstallationIDCO2]",Submission!$O:$O,Submission!$H:$N,""))</f>
        <v/>
      </c>
      <c r="D1374" s="260"/>
      <c r="E1374" s="258" t="str">
        <f>_xlfn.CONCAT(_xlfn.XLOOKUP("[S05_ContinuousEmissionsMeasurementDetail][48][InstallationIDN2O]",Submission!$O:$O,Submission!$H:$N,""))</f>
        <v/>
      </c>
      <c r="F1374" s="260"/>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58" t="str">
        <f>_xlfn.CONCAT(_xlfn.XLOOKUP("[S05_ContinuousEmissionsMeasurementDetail][49][InstallationIDCO2]",Submission!$O:$O,Submission!$H:$N,""))</f>
        <v/>
      </c>
      <c r="D1375" s="260"/>
      <c r="E1375" s="258" t="str">
        <f>_xlfn.CONCAT(_xlfn.XLOOKUP("[S05_ContinuousEmissionsMeasurementDetail][49][InstallationIDN2O]",Submission!$O:$O,Submission!$H:$N,""))</f>
        <v/>
      </c>
      <c r="F1375" s="260"/>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58" t="str">
        <f>_xlfn.CONCAT(_xlfn.XLOOKUP("[S05_ContinuousEmissionsMeasurementDetail][50][InstallationIDCO2]",Submission!$O:$O,Submission!$H:$N,""))</f>
        <v/>
      </c>
      <c r="D1376" s="260"/>
      <c r="E1376" s="258" t="str">
        <f>_xlfn.CONCAT(_xlfn.XLOOKUP("[S05_ContinuousEmissionsMeasurementDetail][50][InstallationIDN2O]",Submission!$O:$O,Submission!$H:$N,""))</f>
        <v/>
      </c>
      <c r="F1376" s="260"/>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58" t="s">
        <v>916</v>
      </c>
      <c r="D1378" s="359"/>
      <c r="E1378" s="359"/>
      <c r="F1378" s="359"/>
      <c r="G1378" s="359"/>
      <c r="H1378" s="359"/>
      <c r="I1378" s="359"/>
    </row>
    <row r="1379" spans="1:11" ht="15.9" customHeight="1" x14ac:dyDescent="0.3">
      <c r="C1379" s="373"/>
      <c r="D1379" s="374"/>
      <c r="E1379" s="374"/>
      <c r="F1379" s="374"/>
      <c r="G1379" s="374"/>
      <c r="H1379" s="374"/>
      <c r="I1379" s="374"/>
      <c r="J1379" s="374"/>
    </row>
    <row r="1380" spans="1:11" ht="15.9" customHeight="1" x14ac:dyDescent="0.3">
      <c r="A1380" s="12" t="s">
        <v>287</v>
      </c>
      <c r="B1380" s="275" t="s">
        <v>917</v>
      </c>
      <c r="C1380" s="276"/>
      <c r="D1380" s="276"/>
      <c r="E1380" s="276"/>
      <c r="F1380" s="276"/>
      <c r="G1380" s="276"/>
      <c r="H1380" s="276"/>
      <c r="I1380" s="276"/>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39" t="s">
        <v>919</v>
      </c>
      <c r="D1382" s="339"/>
      <c r="E1382" s="339"/>
      <c r="F1382" s="339"/>
      <c r="G1382" s="339"/>
      <c r="H1382" s="339"/>
      <c r="I1382" s="339"/>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32 - Manufacture of ceramic products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13</v>
      </c>
      <c r="F1389" s="126" t="str">
        <f>_xlfn.CONCAT(_xlfn.XLOOKUP("[S05_BiomassInstallations][1][EmissionsBiomassSustainabilitySatisfied]",Submission!$O:$O,Submission!$H:$N,""))</f>
        <v>197027.931716602</v>
      </c>
      <c r="G1389" s="126" t="str">
        <f>_xlfn.CONCAT(_xlfn.XLOOKUP("[S05_BiomassInstallations][1][EmissionsBiomassSustainabilityNotSatisfied]",Submission!$O:$O,Submission!$H:$N,""))</f>
        <v>0</v>
      </c>
      <c r="H1389" s="126" t="str">
        <f>_xlfn.CONCAT(_xlfn.XLOOKUP("[S05_BiomassInstallations][1][EmissionsFossil]",Submission!$O:$O,Submission!$H:$N,""))</f>
        <v>179511.830562979</v>
      </c>
      <c r="I1389" s="126" t="str">
        <f>_xlfn.CONCAT(_xlfn.XLOOKUP("[S05_BiomassInstallations][1][EnergyZeroRatedBiomass]",Submission!$O:$O,Submission!$H:$N,""))</f>
        <v>1875.0216391</v>
      </c>
      <c r="J1389" s="126" t="str">
        <f>_xlfn.CONCAT(_xlfn.XLOOKUP("[S05_BiomassInstallations][1][EnergyNonZeroRatedBiomass]",Submission!$O:$O,Submission!$H:$N,""))</f>
        <v>0</v>
      </c>
      <c r="K1389" s="126" t="str">
        <f>_xlfn.CONCAT(_xlfn.XLOOKUP("[S05_BiomassInstallations][1][EnergyFossil]",Submission!$O:$O,Submission!$H:$N,""))</f>
        <v>1798.27245877759</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C</v>
      </c>
      <c r="E1390" s="126" t="str">
        <f>_xlfn.CONCAT(_xlfn.XLOOKUP("[S05_BiomassInstallations][2][NumberUsingBiomass]",Submission!$O:$O,Submission!$H:$N,""))</f>
        <v>5</v>
      </c>
      <c r="F1390" s="126" t="str">
        <f>_xlfn.CONCAT(_xlfn.XLOOKUP("[S05_BiomassInstallations][2][EmissionsBiomassSustainabilitySatisfied]",Submission!$O:$O,Submission!$H:$N,""))</f>
        <v>193458.498779798</v>
      </c>
      <c r="G1390" s="126" t="str">
        <f>_xlfn.CONCAT(_xlfn.XLOOKUP("[S05_BiomassInstallations][2][EmissionsBiomassSustainabilityNotSatisfied]",Submission!$O:$O,Submission!$H:$N,""))</f>
        <v>0</v>
      </c>
      <c r="H1390" s="126" t="str">
        <f>_xlfn.CONCAT(_xlfn.XLOOKUP("[S05_BiomassInstallations][2][EmissionsFossil]",Submission!$O:$O,Submission!$H:$N,""))</f>
        <v>6882148.69119802</v>
      </c>
      <c r="I1390" s="126" t="str">
        <f>_xlfn.CONCAT(_xlfn.XLOOKUP("[S05_BiomassInstallations][2][EnergyZeroRatedBiomass]",Submission!$O:$O,Submission!$H:$N,""))</f>
        <v>1841.3736080214</v>
      </c>
      <c r="J1390" s="126" t="str">
        <f>_xlfn.CONCAT(_xlfn.XLOOKUP("[S05_BiomassInstallations][2][EnergyNonZeroRatedBiomass]",Submission!$O:$O,Submission!$H:$N,""))</f>
        <v>0</v>
      </c>
      <c r="K1390" s="126" t="str">
        <f>_xlfn.CONCAT(_xlfn.XLOOKUP("[S05_BiomassInstallations][2][EnergyFossil]",Submission!$O:$O,Submission!$H:$N,""))</f>
        <v>60549.0291289483</v>
      </c>
    </row>
    <row r="1391" spans="1:11" ht="44.4" customHeight="1" x14ac:dyDescent="0.3">
      <c r="A1391" s="12"/>
      <c r="C1391" s="125" t="str">
        <f>_xlfn.CONCAT(_xlfn.XLOOKUP("[S05_BiomassInstallations][3][Annex1Activity]",Submission!$O:$O,Submission!$H:$N,""))</f>
        <v>20 - Combustion of fuels as specified in Annex I of Directive 2003/87/EC</v>
      </c>
      <c r="D1391" s="128" t="str">
        <f>_xlfn.CONCAT(_xlfn.XLOOKUP("[S05_BiomassInstallations][3][BiomassInstallationCategory]",Submission!$O:$O,Submission!$H:$N,""))</f>
        <v>Category B</v>
      </c>
      <c r="E1391" s="126" t="str">
        <f>_xlfn.CONCAT(_xlfn.XLOOKUP("[S05_BiomassInstallations][3][NumberUsingBiomass]",Submission!$O:$O,Submission!$H:$N,""))</f>
        <v>14</v>
      </c>
      <c r="F1391" s="126" t="str">
        <f>_xlfn.CONCAT(_xlfn.XLOOKUP("[S05_BiomassInstallations][3][EmissionsBiomassSustainabilitySatisfied]",Submission!$O:$O,Submission!$H:$N,""))</f>
        <v>1029691.18394416</v>
      </c>
      <c r="G1391" s="126" t="str">
        <f>_xlfn.CONCAT(_xlfn.XLOOKUP("[S05_BiomassInstallations][3][EmissionsBiomassSustainabilityNotSatisfied]",Submission!$O:$O,Submission!$H:$N,""))</f>
        <v>0</v>
      </c>
      <c r="H1391" s="126" t="str">
        <f>_xlfn.CONCAT(_xlfn.XLOOKUP("[S05_BiomassInstallations][3][EmissionsFossil]",Submission!$O:$O,Submission!$H:$N,""))</f>
        <v>3252621.19692022</v>
      </c>
      <c r="I1391" s="126" t="str">
        <f>_xlfn.CONCAT(_xlfn.XLOOKUP("[S05_BiomassInstallations][3][EnergyZeroRatedBiomass]",Submission!$O:$O,Submission!$H:$N,""))</f>
        <v>9871.48102558859</v>
      </c>
      <c r="J1391" s="126" t="str">
        <f>_xlfn.CONCAT(_xlfn.XLOOKUP("[S05_BiomassInstallations][3][EnergyNonZeroRatedBiomass]",Submission!$O:$O,Submission!$H:$N,""))</f>
        <v>0</v>
      </c>
      <c r="K1391" s="126" t="str">
        <f>_xlfn.CONCAT(_xlfn.XLOOKUP("[S05_BiomassInstallations][3][EnergyFossil]",Submission!$O:$O,Submission!$H:$N,""))</f>
        <v>36180.8772511421</v>
      </c>
    </row>
    <row r="1392" spans="1:11" ht="44.4" customHeight="1" x14ac:dyDescent="0.3">
      <c r="A1392" s="12"/>
      <c r="C1392" s="125" t="str">
        <f>_xlfn.CONCAT(_xlfn.XLOOKUP("[S05_BiomassInstallations][4][Annex1Activity]",Submission!$O:$O,Submission!$H:$N,""))</f>
        <v>20 - Combustion of fuels as specified in Annex I of Directive 2003/87/EC</v>
      </c>
      <c r="D1392" s="128" t="str">
        <f>_xlfn.CONCAT(_xlfn.XLOOKUP("[S05_BiomassInstallations][4][BiomassInstallationCategory]",Submission!$O:$O,Submission!$H:$N,""))</f>
        <v>Category A</v>
      </c>
      <c r="E1392" s="126" t="str">
        <f>_xlfn.CONCAT(_xlfn.XLOOKUP("[S05_BiomassInstallations][4][NumberUsingBiomass]",Submission!$O:$O,Submission!$H:$N,""))</f>
        <v>18</v>
      </c>
      <c r="F1392" s="126" t="str">
        <f>_xlfn.CONCAT(_xlfn.XLOOKUP("[S05_BiomassInstallations][4][EmissionsBiomassSustainabilitySatisfied]",Submission!$O:$O,Submission!$H:$N,""))</f>
        <v>1290680.24181385</v>
      </c>
      <c r="G1392" s="126" t="str">
        <f>_xlfn.CONCAT(_xlfn.XLOOKUP("[S05_BiomassInstallations][4][EmissionsBiomassSustainabilityNotSatisfied]",Submission!$O:$O,Submission!$H:$N,""))</f>
        <v>0</v>
      </c>
      <c r="H1392" s="126" t="str">
        <f>_xlfn.CONCAT(_xlfn.XLOOKUP("[S05_BiomassInstallations][4][EmissionsFossil]",Submission!$O:$O,Submission!$H:$N,""))</f>
        <v>304891.375750953</v>
      </c>
      <c r="I1392" s="126" t="str">
        <f>_xlfn.CONCAT(_xlfn.XLOOKUP("[S05_BiomassInstallations][4][EnergyZeroRatedBiomass]",Submission!$O:$O,Submission!$H:$N,""))</f>
        <v>9479.45247190018</v>
      </c>
      <c r="J1392" s="126" t="str">
        <f>_xlfn.CONCAT(_xlfn.XLOOKUP("[S05_BiomassInstallations][4][EnergyNonZeroRatedBiomass]",Submission!$O:$O,Submission!$H:$N,""))</f>
        <v>0</v>
      </c>
      <c r="K1392" s="126" t="str">
        <f>_xlfn.CONCAT(_xlfn.XLOOKUP("[S05_BiomassInstallations][4][EnergyFossil]",Submission!$O:$O,Submission!$H:$N,""))</f>
        <v>3781.56276942508</v>
      </c>
    </row>
    <row r="1393" spans="1:11" ht="44.4" customHeight="1" x14ac:dyDescent="0.3">
      <c r="A1393" s="12"/>
      <c r="C1393" s="125" t="str">
        <f>_xlfn.CONCAT(_xlfn.XLOOKUP("[S05_BiomassInstallations][5][Annex1Activity]",Submission!$O:$O,Submission!$H:$N,""))</f>
        <v>35 - Production of pulp as specified in Annex I of Directive 2003/87/EC</v>
      </c>
      <c r="D1393" s="128" t="str">
        <f>_xlfn.CONCAT(_xlfn.XLOOKUP("[S05_BiomassInstallations][5][BiomassInstallationCategory]",Submission!$O:$O,Submission!$H:$N,""))</f>
        <v>Category B</v>
      </c>
      <c r="E1393" s="126" t="str">
        <f>_xlfn.CONCAT(_xlfn.XLOOKUP("[S05_BiomassInstallations][5][NumberUsingBiomass]",Submission!$O:$O,Submission!$H:$N,""))</f>
        <v>1</v>
      </c>
      <c r="F1393" s="126" t="str">
        <f>_xlfn.CONCAT(_xlfn.XLOOKUP("[S05_BiomassInstallations][5][EmissionsBiomassSustainabilitySatisfied]",Submission!$O:$O,Submission!$H:$N,""))</f>
        <v>1504520.82522295</v>
      </c>
      <c r="G1393" s="126" t="str">
        <f>_xlfn.CONCAT(_xlfn.XLOOKUP("[S05_BiomassInstallations][5][EmissionsBiomassSustainabilityNotSatisfied]",Submission!$O:$O,Submission!$H:$N,""))</f>
        <v>0</v>
      </c>
      <c r="H1393" s="126" t="str">
        <f>_xlfn.CONCAT(_xlfn.XLOOKUP("[S05_BiomassInstallations][5][EmissionsFossil]",Submission!$O:$O,Submission!$H:$N,""))</f>
        <v>375523.207479312</v>
      </c>
      <c r="I1393" s="126" t="str">
        <f>_xlfn.CONCAT(_xlfn.XLOOKUP("[S05_BiomassInstallations][5][EnergyZeroRatedBiomass]",Submission!$O:$O,Submission!$H:$N,""))</f>
        <v>15455.3858973229</v>
      </c>
      <c r="J1393" s="126" t="str">
        <f>_xlfn.CONCAT(_xlfn.XLOOKUP("[S05_BiomassInstallations][5][EnergyNonZeroRatedBiomass]",Submission!$O:$O,Submission!$H:$N,""))</f>
        <v>0</v>
      </c>
      <c r="K1393" s="126" t="str">
        <f>_xlfn.CONCAT(_xlfn.XLOOKUP("[S05_BiomassInstallations][5][EnergyFossil]",Submission!$O:$O,Submission!$H:$N,""))</f>
        <v>4486.16796671749</v>
      </c>
    </row>
    <row r="1394" spans="1:11" ht="44.4" customHeight="1" x14ac:dyDescent="0.3">
      <c r="A1394" s="12"/>
      <c r="C1394" s="125" t="str">
        <f>_xlfn.CONCAT(_xlfn.XLOOKUP("[S05_BiomassInstallations][6][Annex1Activity]",Submission!$O:$O,Submission!$H:$N,""))</f>
        <v>35 - Production of pulp as specified in Annex I of Directive 2003/87/EC</v>
      </c>
      <c r="D1394" s="128" t="str">
        <f>_xlfn.CONCAT(_xlfn.XLOOKUP("[S05_BiomassInstallations][6][BiomassInstallationCategory]",Submission!$O:$O,Submission!$H:$N,""))</f>
        <v>Category A</v>
      </c>
      <c r="E1394" s="126" t="str">
        <f>_xlfn.CONCAT(_xlfn.XLOOKUP("[S05_BiomassInstallations][6][NumberUsingBiomass]",Submission!$O:$O,Submission!$H:$N,""))</f>
        <v>1</v>
      </c>
      <c r="F1394" s="126" t="str">
        <f>_xlfn.CONCAT(_xlfn.XLOOKUP("[S05_BiomassInstallations][6][EmissionsBiomassSustainabilitySatisfied]",Submission!$O:$O,Submission!$H:$N,""))</f>
        <v>1815732.0132364</v>
      </c>
      <c r="G1394" s="126" t="str">
        <f>_xlfn.CONCAT(_xlfn.XLOOKUP("[S05_BiomassInstallations][6][EmissionsBiomassSustainabilityNotSatisfied]",Submission!$O:$O,Submission!$H:$N,""))</f>
        <v>0</v>
      </c>
      <c r="H1394" s="126" t="str">
        <f>_xlfn.CONCAT(_xlfn.XLOOKUP("[S05_BiomassInstallations][6][EmissionsFossil]",Submission!$O:$O,Submission!$H:$N,""))</f>
        <v>6290.253470697</v>
      </c>
      <c r="I1394" s="126" t="str">
        <f>_xlfn.CONCAT(_xlfn.XLOOKUP("[S05_BiomassInstallations][6][EnergyZeroRatedBiomass]",Submission!$O:$O,Submission!$H:$N,""))</f>
        <v>22505.2048</v>
      </c>
      <c r="J1394" s="126" t="str">
        <f>_xlfn.CONCAT(_xlfn.XLOOKUP("[S05_BiomassInstallations][6][EnergyNonZeroRatedBiomass]",Submission!$O:$O,Submission!$H:$N,""))</f>
        <v>0</v>
      </c>
      <c r="K1394" s="126" t="str">
        <f>_xlfn.CONCAT(_xlfn.XLOOKUP("[S05_BiomassInstallations][6][EnergyFossil]",Submission!$O:$O,Submission!$H:$N,""))</f>
        <v>113.44009866</v>
      </c>
    </row>
    <row r="1395" spans="1:11" ht="44.4" customHeight="1" x14ac:dyDescent="0.3">
      <c r="A1395" s="12"/>
      <c r="C1395" s="125" t="str">
        <f>_xlfn.CONCAT(_xlfn.XLOOKUP("[S05_BiomassInstallations][7][Annex1Activity]",Submission!$O:$O,Submission!$H:$N,""))</f>
        <v>29 - Production of cement clinker in rotary kilns as specified in Annex I of Directive 2003/87/ EC</v>
      </c>
      <c r="D1395" s="128" t="str">
        <f>_xlfn.CONCAT(_xlfn.XLOOKUP("[S05_BiomassInstallations][7][BiomassInstallationCategory]",Submission!$O:$O,Submission!$H:$N,""))</f>
        <v>Category C</v>
      </c>
      <c r="E1395" s="126" t="str">
        <f>_xlfn.CONCAT(_xlfn.XLOOKUP("[S05_BiomassInstallations][7][NumberUsingBiomass]",Submission!$O:$O,Submission!$H:$N,""))</f>
        <v>3</v>
      </c>
      <c r="F1395" s="126" t="str">
        <f>_xlfn.CONCAT(_xlfn.XLOOKUP("[S05_BiomassInstallations][7][EmissionsBiomassSustainabilitySatisfied]",Submission!$O:$O,Submission!$H:$N,""))</f>
        <v>248807.584328485</v>
      </c>
      <c r="G1395" s="126" t="str">
        <f>_xlfn.CONCAT(_xlfn.XLOOKUP("[S05_BiomassInstallations][7][EmissionsBiomassSustainabilityNotSatisfied]",Submission!$O:$O,Submission!$H:$N,""))</f>
        <v>0</v>
      </c>
      <c r="H1395" s="126" t="str">
        <f>_xlfn.CONCAT(_xlfn.XLOOKUP("[S05_BiomassInstallations][7][EmissionsFossil]",Submission!$O:$O,Submission!$H:$N,""))</f>
        <v>1903791.75444923</v>
      </c>
      <c r="I1395" s="126" t="str">
        <f>_xlfn.CONCAT(_xlfn.XLOOKUP("[S05_BiomassInstallations][7][EnergyZeroRatedBiomass]",Submission!$O:$O,Submission!$H:$N,""))</f>
        <v>2830.65004798835</v>
      </c>
      <c r="J1395" s="126" t="str">
        <f>_xlfn.CONCAT(_xlfn.XLOOKUP("[S05_BiomassInstallations][7][EnergyNonZeroRatedBiomass]",Submission!$O:$O,Submission!$H:$N,""))</f>
        <v>0</v>
      </c>
      <c r="K1395" s="126" t="str">
        <f>_xlfn.CONCAT(_xlfn.XLOOKUP("[S05_BiomassInstallations][7][EnergyFossil]",Submission!$O:$O,Submission!$H:$N,""))</f>
        <v>6482.29443146068</v>
      </c>
    </row>
    <row r="1396" spans="1:11" ht="44.4" customHeight="1" x14ac:dyDescent="0.3">
      <c r="A1396" s="12"/>
      <c r="C1396" s="125" t="str">
        <f>_xlfn.CONCAT(_xlfn.XLOOKUP("[S05_BiomassInstallations][8][Annex1Activity]",Submission!$O:$O,Submission!$H:$N,""))</f>
        <v>29 - Production of cement clinker in rotary kilns as specified in Annex I of Directive 2003/87/ EC</v>
      </c>
      <c r="D1396" s="128" t="str">
        <f>_xlfn.CONCAT(_xlfn.XLOOKUP("[S05_BiomassInstallations][8][BiomassInstallationCategory]",Submission!$O:$O,Submission!$H:$N,""))</f>
        <v>Category B</v>
      </c>
      <c r="E1396" s="126" t="str">
        <f>_xlfn.CONCAT(_xlfn.XLOOKUP("[S05_BiomassInstallations][8][NumberUsingBiomass]",Submission!$O:$O,Submission!$H:$N,""))</f>
        <v>2</v>
      </c>
      <c r="F1396" s="126" t="str">
        <f>_xlfn.CONCAT(_xlfn.XLOOKUP("[S05_BiomassInstallations][8][EmissionsBiomassSustainabilitySatisfied]",Submission!$O:$O,Submission!$H:$N,""))</f>
        <v>140793.999135645</v>
      </c>
      <c r="G1396" s="126" t="str">
        <f>_xlfn.CONCAT(_xlfn.XLOOKUP("[S05_BiomassInstallations][8][EmissionsBiomassSustainabilityNotSatisfied]",Submission!$O:$O,Submission!$H:$N,""))</f>
        <v>0</v>
      </c>
      <c r="H1396" s="126" t="str">
        <f>_xlfn.CONCAT(_xlfn.XLOOKUP("[S05_BiomassInstallations][8][EmissionsFossil]",Submission!$O:$O,Submission!$H:$N,""))</f>
        <v>918366.031495983</v>
      </c>
      <c r="I1396" s="126" t="str">
        <f>_xlfn.CONCAT(_xlfn.XLOOKUP("[S05_BiomassInstallations][8][EnergyZeroRatedBiomass]",Submission!$O:$O,Submission!$H:$N,""))</f>
        <v>1665.12670601446</v>
      </c>
      <c r="J1396" s="126" t="str">
        <f>_xlfn.CONCAT(_xlfn.XLOOKUP("[S05_BiomassInstallations][8][EnergyNonZeroRatedBiomass]",Submission!$O:$O,Submission!$H:$N,""))</f>
        <v>0</v>
      </c>
      <c r="K1396" s="126" t="str">
        <f>_xlfn.CONCAT(_xlfn.XLOOKUP("[S05_BiomassInstallations][8][EnergyFossil]",Submission!$O:$O,Submission!$H:$N,""))</f>
        <v>3217.48927410034</v>
      </c>
    </row>
    <row r="1397" spans="1:11" ht="44.4" customHeight="1" x14ac:dyDescent="0.3">
      <c r="A1397" s="12"/>
      <c r="C1397" s="125" t="str">
        <f>_xlfn.CONCAT(_xlfn.XLOOKUP("[S05_BiomassInstallations][9][Annex1Activity]",Submission!$O:$O,Submission!$H:$N,""))</f>
        <v>30 - Production of lime or calcination of dolomite or magnesite as specified in Annex I of Directive 2003/87/ EC</v>
      </c>
      <c r="D1397" s="128" t="str">
        <f>_xlfn.CONCAT(_xlfn.XLOOKUP("[S05_BiomassInstallations][9][BiomassInstallationCategory]",Submission!$O:$O,Submission!$H:$N,""))</f>
        <v>Category B</v>
      </c>
      <c r="E1397" s="126" t="str">
        <f>_xlfn.CONCAT(_xlfn.XLOOKUP("[S05_BiomassInstallations][9][NumberUsingBiomass]",Submission!$O:$O,Submission!$H:$N,""))</f>
        <v>1</v>
      </c>
      <c r="F1397" s="126" t="str">
        <f>_xlfn.CONCAT(_xlfn.XLOOKUP("[S05_BiomassInstallations][9][EmissionsBiomassSustainabilitySatisfied]",Submission!$O:$O,Submission!$H:$N,""))</f>
        <v>4339.42150313821</v>
      </c>
      <c r="G1397" s="126" t="str">
        <f>_xlfn.CONCAT(_xlfn.XLOOKUP("[S05_BiomassInstallations][9][EmissionsBiomassSustainabilityNotSatisfied]",Submission!$O:$O,Submission!$H:$N,""))</f>
        <v>0</v>
      </c>
      <c r="H1397" s="126" t="str">
        <f>_xlfn.CONCAT(_xlfn.XLOOKUP("[S05_BiomassInstallations][9][EmissionsFossil]",Submission!$O:$O,Submission!$H:$N,""))</f>
        <v>79783.2758910582</v>
      </c>
      <c r="I1397" s="126" t="str">
        <f>_xlfn.CONCAT(_xlfn.XLOOKUP("[S05_BiomassInstallations][9][EnergyZeroRatedBiomass]",Submission!$O:$O,Submission!$H:$N,""))</f>
        <v>47.114567309476</v>
      </c>
      <c r="J1397" s="126" t="str">
        <f>_xlfn.CONCAT(_xlfn.XLOOKUP("[S05_BiomassInstallations][9][EnergyNonZeroRatedBiomass]",Submission!$O:$O,Submission!$H:$N,""))</f>
        <v>0</v>
      </c>
      <c r="K1397" s="126" t="str">
        <f>_xlfn.CONCAT(_xlfn.XLOOKUP("[S05_BiomassInstallations][9][EnergyFossil]",Submission!$O:$O,Submission!$H:$N,""))</f>
        <v>342.072087618989</v>
      </c>
    </row>
    <row r="1398" spans="1:11" ht="44.4" customHeight="1" x14ac:dyDescent="0.3">
      <c r="A1398" s="12"/>
      <c r="C1398" s="125" t="str">
        <f>_xlfn.CONCAT(_xlfn.XLOOKUP("[S05_BiomassInstallations][10][Annex1Activity]",Submission!$O:$O,Submission!$H:$N,""))</f>
        <v xml:space="preserve">36 - Production of paper or cardboard as specified in Annex I of Directive 2003/87/EC </v>
      </c>
      <c r="D1398" s="128" t="str">
        <f>_xlfn.CONCAT(_xlfn.XLOOKUP("[S05_BiomassInstallations][10][BiomassInstallationCategory]",Submission!$O:$O,Submission!$H:$N,""))</f>
        <v>Category A</v>
      </c>
      <c r="E1398" s="126" t="str">
        <f>_xlfn.CONCAT(_xlfn.XLOOKUP("[S05_BiomassInstallations][10][NumberUsingBiomass]",Submission!$O:$O,Submission!$H:$N,""))</f>
        <v>1</v>
      </c>
      <c r="F1398" s="126" t="str">
        <f>_xlfn.CONCAT(_xlfn.XLOOKUP("[S05_BiomassInstallations][10][EmissionsBiomassSustainabilitySatisfied]",Submission!$O:$O,Submission!$H:$N,""))</f>
        <v>2399.24123712</v>
      </c>
      <c r="G1398" s="126" t="str">
        <f>_xlfn.CONCAT(_xlfn.XLOOKUP("[S05_BiomassInstallations][10][EmissionsBiomassSustainabilityNotSatisfied]",Submission!$O:$O,Submission!$H:$N,""))</f>
        <v>0</v>
      </c>
      <c r="H1398" s="126" t="str">
        <f>_xlfn.CONCAT(_xlfn.XLOOKUP("[S05_BiomassInstallations][10][EmissionsFossil]",Submission!$O:$O,Submission!$H:$N,""))</f>
        <v>19411.8498922495</v>
      </c>
      <c r="I1398" s="126" t="str">
        <f>_xlfn.CONCAT(_xlfn.XLOOKUP("[S05_BiomassInstallations][10][EnergyZeroRatedBiomass]",Submission!$O:$O,Submission!$H:$N,""))</f>
        <v>43.9421472</v>
      </c>
      <c r="J1398" s="126" t="str">
        <f>_xlfn.CONCAT(_xlfn.XLOOKUP("[S05_BiomassInstallations][10][EnergyNonZeroRatedBiomass]",Submission!$O:$O,Submission!$H:$N,""))</f>
        <v>0</v>
      </c>
      <c r="K1398" s="126" t="str">
        <f>_xlfn.CONCAT(_xlfn.XLOOKUP("[S05_BiomassInstallations][10][EnergyFossil]",Submission!$O:$O,Submission!$H:$N,""))</f>
        <v>350.07844711</v>
      </c>
    </row>
    <row r="1399" spans="1:11" ht="44.4" customHeight="1" x14ac:dyDescent="0.3">
      <c r="A1399" s="12"/>
      <c r="C1399" s="125" t="str">
        <f>_xlfn.CONCAT(_xlfn.XLOOKUP("[S05_BiomassInstallations][11][Annex1Activity]",Submission!$O:$O,Submission!$H:$N,""))</f>
        <v xml:space="preserve">38 - Production of nitric acid </v>
      </c>
      <c r="D1399" s="128" t="str">
        <f>_xlfn.CONCAT(_xlfn.XLOOKUP("[S05_BiomassInstallations][11][BiomassInstallationCategory]",Submission!$O:$O,Submission!$H:$N,""))</f>
        <v>Category B</v>
      </c>
      <c r="E1399" s="126" t="str">
        <f>_xlfn.CONCAT(_xlfn.XLOOKUP("[S05_BiomassInstallations][11][NumberUsingBiomass]",Submission!$O:$O,Submission!$H:$N,""))</f>
        <v>1</v>
      </c>
      <c r="F1399" s="126" t="str">
        <f>_xlfn.CONCAT(_xlfn.XLOOKUP("[S05_BiomassInstallations][11][EmissionsBiomassSustainabilitySatisfied]",Submission!$O:$O,Submission!$H:$N,""))</f>
        <v>5298.0018</v>
      </c>
      <c r="G1399" s="126" t="str">
        <f>_xlfn.CONCAT(_xlfn.XLOOKUP("[S05_BiomassInstallations][11][EmissionsBiomassSustainabilityNotSatisfied]",Submission!$O:$O,Submission!$H:$N,""))</f>
        <v>0</v>
      </c>
      <c r="H1399" s="126" t="str">
        <f>_xlfn.CONCAT(_xlfn.XLOOKUP("[S05_BiomassInstallations][11][EmissionsFossil]",Submission!$O:$O,Submission!$H:$N,""))</f>
        <v>224219.903320831</v>
      </c>
      <c r="I1399" s="126" t="str">
        <f>_xlfn.CONCAT(_xlfn.XLOOKUP("[S05_BiomassInstallations][11][EnergyZeroRatedBiomass]",Submission!$O:$O,Submission!$H:$N,""))</f>
        <v>52.980018</v>
      </c>
      <c r="J1399" s="126" t="str">
        <f>_xlfn.CONCAT(_xlfn.XLOOKUP("[S05_BiomassInstallations][11][EnergyNonZeroRatedBiomass]",Submission!$O:$O,Submission!$H:$N,""))</f>
        <v>0</v>
      </c>
      <c r="K1399" s="126" t="str">
        <f>_xlfn.CONCAT(_xlfn.XLOOKUP("[S05_BiomassInstallations][11][EnergyFossil]",Submission!$O:$O,Submission!$H:$N,""))</f>
        <v>2497.14696235</v>
      </c>
    </row>
    <row r="1400" spans="1:11" ht="44.4" customHeight="1" x14ac:dyDescent="0.3">
      <c r="A1400" s="12"/>
      <c r="C1400" s="125" t="str">
        <f>_xlfn.CONCAT(_xlfn.XLOOKUP("[S05_BiomassInstallations][12][Annex1Activity]",Submission!$O:$O,Submission!$H:$N,""))</f>
        <v>24 - Production of pig iron or steel as specified in Annex I of Directive 2003/87/EC</v>
      </c>
      <c r="D1400" s="128" t="str">
        <f>_xlfn.CONCAT(_xlfn.XLOOKUP("[S05_BiomassInstallations][12][BiomassInstallationCategory]",Submission!$O:$O,Submission!$H:$N,""))</f>
        <v>Category B</v>
      </c>
      <c r="E1400" s="126" t="str">
        <f>_xlfn.CONCAT(_xlfn.XLOOKUP("[S05_BiomassInstallations][12][NumberUsingBiomass]",Submission!$O:$O,Submission!$H:$N,""))</f>
        <v>1</v>
      </c>
      <c r="F1400" s="126" t="str">
        <f>_xlfn.CONCAT(_xlfn.XLOOKUP("[S05_BiomassInstallations][12][EmissionsBiomassSustainabilitySatisfied]",Submission!$O:$O,Submission!$H:$N,""))</f>
        <v>122.96</v>
      </c>
      <c r="G1400" s="126" t="str">
        <f>_xlfn.CONCAT(_xlfn.XLOOKUP("[S05_BiomassInstallations][12][EmissionsBiomassSustainabilityNotSatisfied]",Submission!$O:$O,Submission!$H:$N,""))</f>
        <v>0</v>
      </c>
      <c r="H1400" s="126" t="str">
        <f>_xlfn.CONCAT(_xlfn.XLOOKUP("[S05_BiomassInstallations][12][EmissionsFossil]",Submission!$O:$O,Submission!$H:$N,""))</f>
        <v>80116.4228401549</v>
      </c>
      <c r="I1400" s="126" t="str">
        <f>_xlfn.CONCAT(_xlfn.XLOOKUP("[S05_BiomassInstallations][12][EnergyZeroRatedBiomass]",Submission!$O:$O,Submission!$H:$N,""))</f>
        <v>1.2296</v>
      </c>
      <c r="J1400" s="126" t="str">
        <f>_xlfn.CONCAT(_xlfn.XLOOKUP("[S05_BiomassInstallations][12][EnergyNonZeroRatedBiomass]",Submission!$O:$O,Submission!$H:$N,""))</f>
        <v>0</v>
      </c>
      <c r="K1400" s="126" t="str">
        <f>_xlfn.CONCAT(_xlfn.XLOOKUP("[S05_BiomassInstallations][12][EnergyFossil]",Submission!$O:$O,Submission!$H:$N,""))</f>
        <v>1210.8854769</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07" t="s">
        <v>932</v>
      </c>
      <c r="C1441" s="308"/>
      <c r="D1441" s="308"/>
      <c r="E1441" s="308"/>
      <c r="F1441" s="308"/>
      <c r="G1441" s="308"/>
      <c r="H1441" s="308"/>
      <c r="I1441" s="308"/>
    </row>
    <row r="1442" spans="1:9" ht="32.4" customHeight="1" x14ac:dyDescent="0.3">
      <c r="B1442" s="23"/>
      <c r="C1442" s="258" t="str">
        <f>_xlfn.CONCAT(_xlfn.XLOOKUP("[SustainabilityComplianceDemonstrate][0][SustainabilityComplianceDemonstrate]",Submission!$O:$O,Submission!$H:$N,""))</f>
        <v>For 2021, the derrogation pursuant to regulation 2022/388/EU is used and the sustainability of biomass os considered as fulfilled. Nevertheless, operators are expected to be able to provide informatiopn about the origin of biomass. In case of obvious non-compliance with the criteria, the biomass might be evaluated case by case by the competent autrhority and not considered as sustainable. No such source stream occured.</v>
      </c>
      <c r="D1442" s="369"/>
      <c r="E1442" s="369"/>
      <c r="F1442" s="369"/>
      <c r="G1442" s="369"/>
      <c r="H1442" s="369"/>
      <c r="I1442" s="259"/>
    </row>
    <row r="1443" spans="1:9" ht="15.9" customHeight="1" x14ac:dyDescent="0.3">
      <c r="B1443" s="23"/>
      <c r="D1443" s="11"/>
      <c r="E1443" s="11"/>
      <c r="F1443" s="11"/>
      <c r="G1443" s="11"/>
    </row>
    <row r="1444" spans="1:9" ht="33" customHeight="1" x14ac:dyDescent="0.3">
      <c r="A1444" s="12" t="s">
        <v>299</v>
      </c>
      <c r="B1444" s="275" t="s">
        <v>933</v>
      </c>
      <c r="C1444" s="276"/>
      <c r="D1444" s="276"/>
      <c r="E1444" s="276"/>
      <c r="F1444" s="276"/>
      <c r="G1444" s="276"/>
      <c r="H1444" s="276"/>
      <c r="I1444" s="276"/>
    </row>
    <row r="1445" spans="1:9" ht="15.9" customHeight="1" x14ac:dyDescent="0.3">
      <c r="A1445" s="13"/>
      <c r="C1445" s="402"/>
      <c r="D1445" s="402"/>
      <c r="E1445" s="402"/>
      <c r="F1445" s="402"/>
      <c r="G1445" s="357" t="s">
        <v>934</v>
      </c>
      <c r="H1445" s="357"/>
      <c r="I1445" s="357"/>
    </row>
    <row r="1446" spans="1:9" ht="15.9" customHeight="1" x14ac:dyDescent="0.3">
      <c r="A1446" s="13"/>
      <c r="C1446" s="399" t="s">
        <v>935</v>
      </c>
      <c r="D1446" s="400"/>
      <c r="E1446" s="400"/>
      <c r="F1446" s="400"/>
      <c r="G1446" s="401" t="str">
        <f>_xlfn.CONCAT(_xlfn.XLOOKUP("[WasteFuelFossilCO2][0][WasteFuelFossilCO2]",Submission!$O:$O,Submission!$H:$N,""))</f>
        <v>538401.623030004</v>
      </c>
      <c r="H1446" s="401"/>
      <c r="I1446" s="401"/>
    </row>
    <row r="1447" spans="1:9" ht="15.9" customHeight="1" x14ac:dyDescent="0.3">
      <c r="B1447" s="14"/>
      <c r="C1447" s="19"/>
      <c r="E1447" s="11"/>
      <c r="F1447" s="11"/>
      <c r="G1447" s="11"/>
      <c r="H1447" s="11"/>
    </row>
    <row r="1448" spans="1:9" ht="15.9" customHeight="1" x14ac:dyDescent="0.3">
      <c r="A1448" s="12" t="s">
        <v>308</v>
      </c>
      <c r="B1448" s="373" t="s">
        <v>936</v>
      </c>
      <c r="C1448" s="374"/>
      <c r="D1448" s="374"/>
      <c r="E1448" s="374"/>
      <c r="F1448" s="374"/>
      <c r="G1448" s="374"/>
      <c r="H1448" s="374"/>
      <c r="I1448" s="374"/>
    </row>
    <row r="1449" spans="1:9" ht="32.1" customHeight="1" x14ac:dyDescent="0.3">
      <c r="A1449" s="12"/>
      <c r="B1449" s="338" t="s">
        <v>937</v>
      </c>
      <c r="C1449" s="308"/>
      <c r="D1449" s="308"/>
      <c r="E1449" s="308"/>
      <c r="F1449" s="308"/>
      <c r="G1449" s="308"/>
      <c r="H1449" s="345"/>
      <c r="I1449" s="41" t="str">
        <f>_xlfn.CONCAT(_xlfn.XLOOKUP("[SimplifiedMonitoringArt13][0][SimplifiedMonitoringArt13]",Submission!$O:$O,Submission!$H:$N,""))</f>
        <v>No</v>
      </c>
    </row>
    <row r="1450" spans="1:9" ht="15.9" customHeight="1" x14ac:dyDescent="0.3">
      <c r="B1450" s="275" t="s">
        <v>938</v>
      </c>
      <c r="C1450" s="276"/>
      <c r="D1450" s="276"/>
      <c r="E1450" s="276"/>
      <c r="F1450" s="276"/>
      <c r="G1450" s="276"/>
      <c r="H1450" s="276"/>
      <c r="I1450" s="276"/>
    </row>
    <row r="1451" spans="1:9" ht="15.9" customHeight="1" x14ac:dyDescent="0.3">
      <c r="A1451" s="13"/>
      <c r="C1451" s="357" t="s">
        <v>939</v>
      </c>
      <c r="D1451" s="357"/>
      <c r="E1451" s="357"/>
      <c r="F1451" s="357"/>
      <c r="G1451" s="357" t="s">
        <v>940</v>
      </c>
      <c r="H1451" s="357"/>
      <c r="I1451" s="357"/>
    </row>
    <row r="1452" spans="1:9" ht="26.4" customHeight="1" x14ac:dyDescent="0.3">
      <c r="A1452" s="13"/>
      <c r="C1452" s="274" t="str">
        <f>_xlfn.CONCAT(_xlfn.XLOOKUP("[S05_SimplifiedMonitoringArt13Detail][1][Art13RiskAssessmentType]",Submission!$O:$O,Submission!$H:$N,""))</f>
        <v/>
      </c>
      <c r="D1452" s="353"/>
      <c r="E1452" s="353"/>
      <c r="F1452" s="260"/>
      <c r="G1452" s="354" t="str">
        <f>_xlfn.CONCAT(_xlfn.XLOOKUP("[S05_SimplifiedMonitoringArt13Detail][1][Art13RiskAssessmentPrinciples]",Submission!$O:$O,Submission!$H:$N,""))</f>
        <v/>
      </c>
      <c r="H1452" s="354"/>
      <c r="I1452" s="354"/>
    </row>
    <row r="1453" spans="1:9" ht="26.4" customHeight="1" x14ac:dyDescent="0.3">
      <c r="A1453" s="13"/>
      <c r="C1453" s="274" t="str">
        <f>_xlfn.CONCAT(_xlfn.XLOOKUP("[S05_SimplifiedMonitoringArt13Detail][2][Art13RiskAssessmentType]",Submission!$O:$O,Submission!$H:$N,""))</f>
        <v/>
      </c>
      <c r="D1453" s="353"/>
      <c r="E1453" s="353"/>
      <c r="F1453" s="260"/>
      <c r="G1453" s="354" t="str">
        <f>_xlfn.CONCAT(_xlfn.XLOOKUP("[S05_SimplifiedMonitoringArt13Detail][2][Art13RiskAssessmentPrinciples]",Submission!$O:$O,Submission!$H:$N,""))</f>
        <v/>
      </c>
      <c r="H1453" s="354"/>
      <c r="I1453" s="354"/>
    </row>
    <row r="1454" spans="1:9" ht="26.4" hidden="1" customHeight="1" outlineLevel="1" x14ac:dyDescent="0.3">
      <c r="A1454" s="13"/>
      <c r="C1454" s="274" t="str">
        <f>_xlfn.CONCAT(_xlfn.XLOOKUP("[S05_SimplifiedMonitoringArt13Detail][3][Art13RiskAssessmentType]",Submission!$O:$O,Submission!$H:$N,""))</f>
        <v/>
      </c>
      <c r="D1454" s="353"/>
      <c r="E1454" s="353"/>
      <c r="F1454" s="260"/>
      <c r="G1454" s="354" t="str">
        <f>_xlfn.CONCAT(_xlfn.XLOOKUP("[S05_SimplifiedMonitoringArt13Detail][3][Art13RiskAssessmentPrinciples]",Submission!$O:$O,Submission!$H:$N,""))</f>
        <v/>
      </c>
      <c r="H1454" s="354"/>
      <c r="I1454" s="354"/>
    </row>
    <row r="1455" spans="1:9" ht="26.4" hidden="1" customHeight="1" outlineLevel="1" x14ac:dyDescent="0.3">
      <c r="A1455" s="13"/>
      <c r="C1455" s="274" t="str">
        <f>_xlfn.CONCAT(_xlfn.XLOOKUP("[S05_SimplifiedMonitoringArt13Detail][4][Art13RiskAssessmentType]",Submission!$O:$O,Submission!$H:$N,""))</f>
        <v/>
      </c>
      <c r="D1455" s="353"/>
      <c r="E1455" s="353"/>
      <c r="F1455" s="260"/>
      <c r="G1455" s="354" t="str">
        <f>_xlfn.CONCAT(_xlfn.XLOOKUP("[S05_SimplifiedMonitoringArt13Detail][4][Art13RiskAssessmentPrinciples]",Submission!$O:$O,Submission!$H:$N,""))</f>
        <v/>
      </c>
      <c r="H1455" s="354"/>
      <c r="I1455" s="354"/>
    </row>
    <row r="1456" spans="1:9" ht="26.4" hidden="1" customHeight="1" outlineLevel="1" x14ac:dyDescent="0.3">
      <c r="A1456" s="13"/>
      <c r="C1456" s="274" t="str">
        <f>_xlfn.CONCAT(_xlfn.XLOOKUP("[S05_SimplifiedMonitoringArt13Detail][5][Art13RiskAssessmentType]",Submission!$O:$O,Submission!$H:$N,""))</f>
        <v/>
      </c>
      <c r="D1456" s="353"/>
      <c r="E1456" s="353"/>
      <c r="F1456" s="260"/>
      <c r="G1456" s="354" t="str">
        <f>_xlfn.CONCAT(_xlfn.XLOOKUP("[S05_SimplifiedMonitoringArt13Detail][5][Art13RiskAssessmentPrinciples]",Submission!$O:$O,Submission!$H:$N,""))</f>
        <v/>
      </c>
      <c r="H1456" s="354"/>
      <c r="I1456" s="354"/>
    </row>
    <row r="1457" spans="1:9" ht="15.9" customHeight="1" collapsed="1" x14ac:dyDescent="0.3">
      <c r="C1457" s="355" t="s">
        <v>941</v>
      </c>
      <c r="D1457" s="356"/>
      <c r="E1457" s="356"/>
      <c r="F1457" s="356"/>
      <c r="G1457" s="356"/>
      <c r="H1457" s="356"/>
      <c r="I1457" s="356"/>
    </row>
    <row r="1458" spans="1:9" ht="15.9" customHeight="1" x14ac:dyDescent="0.3"/>
    <row r="1459" spans="1:9" ht="18.899999999999999" customHeight="1" x14ac:dyDescent="0.35">
      <c r="A1459" s="48" t="s">
        <v>942</v>
      </c>
      <c r="B1459" s="310" t="s">
        <v>97</v>
      </c>
      <c r="C1459" s="310"/>
      <c r="D1459" s="310"/>
      <c r="E1459" s="310"/>
      <c r="F1459" s="310"/>
      <c r="G1459" s="310"/>
      <c r="H1459" s="310"/>
      <c r="I1459" s="311"/>
    </row>
    <row r="1460" spans="1:9" ht="15.9" customHeight="1" x14ac:dyDescent="0.3">
      <c r="A1460" s="12" t="s">
        <v>313</v>
      </c>
      <c r="B1460" s="312" t="s">
        <v>943</v>
      </c>
      <c r="C1460" s="313"/>
      <c r="D1460" s="313"/>
      <c r="E1460" s="313"/>
      <c r="F1460" s="313"/>
      <c r="G1460" s="313"/>
      <c r="H1460" s="313"/>
      <c r="I1460" s="313"/>
    </row>
    <row r="1461" spans="1:9" ht="26.1" customHeight="1" x14ac:dyDescent="0.3">
      <c r="C1461" s="357" t="s">
        <v>944</v>
      </c>
      <c r="D1461" s="357"/>
      <c r="E1461" s="357" t="s">
        <v>945</v>
      </c>
      <c r="F1461" s="357"/>
      <c r="G1461" s="317" t="s">
        <v>946</v>
      </c>
      <c r="H1461" s="370"/>
      <c r="I1461" s="318"/>
    </row>
    <row r="1462" spans="1:9" ht="15.9" customHeight="1" x14ac:dyDescent="0.3">
      <c r="C1462" s="383" t="s">
        <v>947</v>
      </c>
      <c r="D1462" s="383"/>
      <c r="E1462" s="410" t="str">
        <f>_xlfn.CONCAT(_xlfn.XLOOKUP("[S05_AircraftMethodFuelConsumption][1][CountAircraftOperators]",Submission!$O:$O,Submission!$H:$N,""))</f>
        <v>0</v>
      </c>
      <c r="F1462" s="410"/>
      <c r="G1462" s="413" t="str">
        <f>_xlfn.CONCAT(_xlfn.XLOOKUP("[S05_AircraftMethodFuelConsumption][1][SmallEmittersShare]",Submission!$O:$O,Submission!$H:$N,""))</f>
        <v>0</v>
      </c>
      <c r="H1462" s="413"/>
      <c r="I1462" s="413"/>
    </row>
    <row r="1463" spans="1:9" ht="15.9" customHeight="1" x14ac:dyDescent="0.3">
      <c r="A1463" s="13"/>
      <c r="C1463" s="383" t="s">
        <v>948</v>
      </c>
      <c r="D1463" s="383"/>
      <c r="E1463" s="410" t="str">
        <f>_xlfn.CONCAT(_xlfn.XLOOKUP("[S05_AircraftMethodFuelConsumption][2][CountAircraftOperators]",Submission!$O:$O,Submission!$H:$N,""))</f>
        <v>2</v>
      </c>
      <c r="F1463" s="410"/>
      <c r="G1463" s="413" t="str">
        <f>_xlfn.CONCAT(_xlfn.XLOOKUP("[S05_AircraftMethodFuelConsumption][2][SmallEmittersShare]",Submission!$O:$O,Submission!$H:$N,""))</f>
        <v>0</v>
      </c>
      <c r="H1463" s="413"/>
      <c r="I1463" s="413"/>
    </row>
    <row r="1464" spans="1:9" ht="15.9" customHeight="1" x14ac:dyDescent="0.3">
      <c r="A1464" s="13"/>
      <c r="C1464" s="383" t="s">
        <v>949</v>
      </c>
      <c r="D1464" s="383"/>
      <c r="E1464" s="410" t="str">
        <f>_xlfn.CONCAT(_xlfn.XLOOKUP("[S05_AircraftMethodFuelConsumption][3][CountAircraftOperators]",Submission!$O:$O,Submission!$H:$N,""))</f>
        <v>0</v>
      </c>
      <c r="F1464" s="410"/>
      <c r="G1464" s="413" t="str">
        <f>_xlfn.CONCAT(_xlfn.XLOOKUP("[S05_AircraftMethodFuelConsumption][3][SmallEmittersShare]",Submission!$O:$O,Submission!$H:$N,""))</f>
        <v>0</v>
      </c>
      <c r="H1464" s="413"/>
      <c r="I1464" s="413"/>
    </row>
    <row r="1465" spans="1:9" ht="15.9" customHeight="1" x14ac:dyDescent="0.3"/>
    <row r="1466" spans="1:9" ht="19.2" customHeight="1" x14ac:dyDescent="0.3">
      <c r="A1466" s="12" t="s">
        <v>318</v>
      </c>
      <c r="B1466" s="275" t="s">
        <v>950</v>
      </c>
      <c r="C1466" s="276"/>
      <c r="D1466" s="276"/>
      <c r="E1466" s="276"/>
      <c r="F1466" s="276"/>
      <c r="G1466" s="276"/>
      <c r="H1466" s="276"/>
      <c r="I1466" s="276"/>
    </row>
    <row r="1467" spans="1:9" ht="15" customHeight="1" x14ac:dyDescent="0.3">
      <c r="A1467" s="12"/>
      <c r="B1467" s="36" t="s">
        <v>8</v>
      </c>
      <c r="C1467" s="411" t="s">
        <v>951</v>
      </c>
      <c r="D1467" s="411"/>
      <c r="E1467" s="411"/>
      <c r="F1467" s="411"/>
      <c r="G1467" s="411"/>
      <c r="H1467" s="411"/>
      <c r="I1467" s="411"/>
    </row>
    <row r="1468" spans="1:9" ht="14.4" customHeight="1" x14ac:dyDescent="0.3">
      <c r="A1468" s="12"/>
      <c r="B1468" s="36" t="s">
        <v>8</v>
      </c>
      <c r="C1468" s="411" t="s">
        <v>952</v>
      </c>
      <c r="D1468" s="411"/>
      <c r="E1468" s="411"/>
      <c r="F1468" s="411"/>
      <c r="G1468" s="411"/>
      <c r="H1468" s="411"/>
      <c r="I1468" s="411"/>
    </row>
    <row r="1469" spans="1:9" ht="14.4" customHeight="1" x14ac:dyDescent="0.3">
      <c r="A1469" s="12"/>
      <c r="B1469" s="36" t="s">
        <v>8</v>
      </c>
      <c r="C1469" s="411" t="s">
        <v>953</v>
      </c>
      <c r="D1469" s="411"/>
      <c r="E1469" s="411"/>
      <c r="F1469" s="411"/>
      <c r="G1469" s="411"/>
      <c r="H1469" s="411"/>
      <c r="I1469" s="411"/>
    </row>
    <row r="1470" spans="1:9" ht="16.2" customHeight="1" x14ac:dyDescent="0.3">
      <c r="A1470" s="12"/>
      <c r="B1470" s="36" t="s">
        <v>8</v>
      </c>
      <c r="C1470" s="412" t="s">
        <v>954</v>
      </c>
      <c r="D1470" s="412"/>
      <c r="E1470" s="412"/>
      <c r="F1470" s="412"/>
      <c r="G1470" s="412"/>
      <c r="H1470" s="412"/>
      <c r="I1470" s="412"/>
    </row>
    <row r="1471" spans="1:9" ht="15.6" customHeight="1" x14ac:dyDescent="0.3">
      <c r="C1471" s="380"/>
      <c r="D1471" s="381"/>
      <c r="E1471" s="381"/>
      <c r="F1471" s="381"/>
      <c r="G1471" s="371" t="s">
        <v>955</v>
      </c>
      <c r="H1471" s="372"/>
      <c r="I1471" s="372"/>
    </row>
    <row r="1472" spans="1:9" ht="28.5" customHeight="1" x14ac:dyDescent="0.3">
      <c r="C1472" s="382" t="s">
        <v>956</v>
      </c>
      <c r="D1472" s="383"/>
      <c r="E1472" s="383"/>
      <c r="F1472" s="383"/>
      <c r="G1472" s="379" t="str">
        <f>_xlfn.CONCAT(_xlfn.XLOOKUP("[S05_TotalFlightEmissions][1][TotalFlightEmissions]",Submission!$O:$O,Submission!$H:$N,""))</f>
        <v>164326</v>
      </c>
      <c r="H1472" s="379"/>
      <c r="I1472" s="379"/>
    </row>
    <row r="1473" spans="1:10" ht="28.95" customHeight="1" x14ac:dyDescent="0.3">
      <c r="C1473" s="382" t="s">
        <v>957</v>
      </c>
      <c r="D1473" s="382"/>
      <c r="E1473" s="382"/>
      <c r="F1473" s="382"/>
      <c r="G1473" s="379" t="str">
        <f>_xlfn.CONCAT(_xlfn.XLOOKUP("[S05_TotalFlightEmissions][2][TotalFlightEmissions]",Submission!$O:$O,Submission!$H:$N,""))</f>
        <v>3621</v>
      </c>
      <c r="H1473" s="379"/>
      <c r="I1473" s="379"/>
    </row>
    <row r="1474" spans="1:10" ht="28.95" customHeight="1" x14ac:dyDescent="0.3">
      <c r="C1474" s="382" t="s">
        <v>958</v>
      </c>
      <c r="D1474" s="382"/>
      <c r="E1474" s="382"/>
      <c r="F1474" s="382"/>
      <c r="G1474" s="379" t="str">
        <f>_xlfn.CONCAT(_xlfn.XLOOKUP("[S05_TotalFlightEmissions][3][TotalFlightEmissions]",Submission!$O:$O,Submission!$H:$N,""))</f>
        <v>372371</v>
      </c>
      <c r="H1474" s="379"/>
      <c r="I1474" s="379"/>
    </row>
    <row r="1475" spans="1:10" ht="28.95" customHeight="1" x14ac:dyDescent="0.3">
      <c r="C1475" s="382" t="s">
        <v>959</v>
      </c>
      <c r="D1475" s="382"/>
      <c r="E1475" s="382"/>
      <c r="F1475" s="382"/>
      <c r="G1475" s="379" t="str">
        <f>_xlfn.CONCAT(_xlfn.XLOOKUP("[S05_TotalFlightEmissions][4][TotalFlightEmissions]",Submission!$O:$O,Submission!$H:$N,""))</f>
        <v>0</v>
      </c>
      <c r="H1475" s="379"/>
      <c r="I1475" s="379"/>
    </row>
    <row r="1476" spans="1:10" ht="28.95" customHeight="1" x14ac:dyDescent="0.3">
      <c r="C1476" s="382" t="s">
        <v>960</v>
      </c>
      <c r="D1476" s="382"/>
      <c r="E1476" s="382"/>
      <c r="F1476" s="382"/>
      <c r="G1476" s="379" t="str">
        <f>_xlfn.CONCAT(_xlfn.XLOOKUP("[S05_TotalFlightEmissions][5][TotalFlightEmissions]",Submission!$O:$O,Submission!$H:$N,""))</f>
        <v>812</v>
      </c>
      <c r="H1476" s="379"/>
      <c r="I1476" s="379"/>
    </row>
    <row r="1477" spans="1:10" ht="17.399999999999999" customHeight="1" x14ac:dyDescent="0.3">
      <c r="C1477" s="37"/>
      <c r="D1477" s="37"/>
      <c r="E1477" s="37"/>
      <c r="F1477" s="37"/>
      <c r="G1477" s="11"/>
      <c r="H1477" s="11"/>
      <c r="I1477" s="11"/>
    </row>
    <row r="1478" spans="1:10" ht="28.2" customHeight="1" x14ac:dyDescent="0.3">
      <c r="C1478" s="409" t="s">
        <v>961</v>
      </c>
      <c r="D1478" s="409"/>
      <c r="E1478" s="409"/>
      <c r="F1478" s="409"/>
      <c r="G1478" s="409"/>
      <c r="H1478" s="409"/>
      <c r="I1478" s="409"/>
    </row>
    <row r="1479" spans="1:10" ht="15.9" customHeight="1" x14ac:dyDescent="0.3">
      <c r="C1479" s="403" t="s">
        <v>962</v>
      </c>
      <c r="D1479" s="404"/>
      <c r="E1479" s="404"/>
      <c r="F1479" s="404"/>
      <c r="G1479" s="405" t="str">
        <f>_xlfn.CONCAT(_xlfn.XLOOKUP("[CountOperatorsThirdCountries][0][CountOperatorsThirdCountries]",Submission!$O:$O,Submission!$H:$N,""))</f>
        <v>4</v>
      </c>
      <c r="H1479" s="405"/>
      <c r="I1479" s="405"/>
    </row>
    <row r="1480" spans="1:10" ht="15.9" customHeight="1" x14ac:dyDescent="0.3">
      <c r="C1480" s="37"/>
      <c r="D1480" s="11"/>
      <c r="E1480" s="11"/>
      <c r="F1480" s="11"/>
      <c r="G1480" s="11"/>
      <c r="H1480" s="11"/>
      <c r="I1480" s="11"/>
      <c r="J1480" s="11"/>
    </row>
    <row r="1481" spans="1:10" ht="15.9" customHeight="1" x14ac:dyDescent="0.3">
      <c r="A1481" s="12" t="s">
        <v>326</v>
      </c>
      <c r="B1481" s="275" t="s">
        <v>963</v>
      </c>
      <c r="C1481" s="276"/>
      <c r="D1481" s="276"/>
      <c r="E1481" s="276"/>
      <c r="F1481" s="276"/>
      <c r="G1481" s="276"/>
      <c r="H1481" s="276"/>
      <c r="I1481" s="276"/>
    </row>
    <row r="1482" spans="1:10" ht="15.9" customHeight="1" x14ac:dyDescent="0.3">
      <c r="B1482" s="15" t="s">
        <v>8</v>
      </c>
      <c r="C1482" s="339" t="s">
        <v>964</v>
      </c>
      <c r="D1482" s="360"/>
      <c r="E1482" s="360"/>
      <c r="F1482" s="360"/>
      <c r="G1482" s="360"/>
      <c r="H1482" s="360"/>
      <c r="I1482" s="360"/>
    </row>
    <row r="1483" spans="1:10" ht="15.9" customHeight="1" x14ac:dyDescent="0.3">
      <c r="B1483" s="15" t="s">
        <v>8</v>
      </c>
      <c r="C1483" s="339" t="s">
        <v>965</v>
      </c>
      <c r="D1483" s="360"/>
      <c r="E1483" s="360"/>
      <c r="F1483" s="360"/>
      <c r="G1483" s="360"/>
      <c r="H1483" s="360"/>
      <c r="I1483" s="360"/>
    </row>
    <row r="1484" spans="1:10" ht="16.5" customHeight="1" x14ac:dyDescent="0.3">
      <c r="B1484" s="15" t="s">
        <v>8</v>
      </c>
      <c r="C1484" s="339" t="s">
        <v>966</v>
      </c>
      <c r="D1484" s="360"/>
      <c r="E1484" s="360"/>
      <c r="F1484" s="360"/>
      <c r="G1484" s="360"/>
      <c r="H1484" s="360"/>
      <c r="I1484" s="360"/>
    </row>
    <row r="1485" spans="1:10" ht="42.6" customHeight="1" x14ac:dyDescent="0.3">
      <c r="C1485" s="371" t="s">
        <v>967</v>
      </c>
      <c r="D1485" s="371"/>
      <c r="E1485" s="371" t="s">
        <v>968</v>
      </c>
      <c r="F1485" s="372"/>
      <c r="G1485" s="371" t="s">
        <v>969</v>
      </c>
      <c r="H1485" s="371"/>
      <c r="I1485" s="371"/>
    </row>
    <row r="1486" spans="1:10" ht="15.9" customHeight="1" x14ac:dyDescent="0.3">
      <c r="C1486" s="406" t="str">
        <f>_xlfn.CONCAT(_xlfn.XLOOKUP("[CountOperatorsUsingBiofuels][0][CountOperatorsUsingBiofuels]",Submission!$O:$O,Submission!$H:$N,""))</f>
        <v>0</v>
      </c>
      <c r="D1486" s="406"/>
      <c r="E1486" s="407" t="str">
        <f>_xlfn.CONCAT(_xlfn.XLOOKUP("[EmissionsBiofuelsSustainabilitySatisfied][0][EmissionsBiofuelsSustainabilitySatisfied]",Submission!$O:$O,Submission!$H:$N,""))</f>
        <v>0</v>
      </c>
      <c r="F1486" s="407"/>
      <c r="G1486" s="408" t="str">
        <f>_xlfn.CONCAT(_xlfn.XLOOKUP("[EmissionsBiofuelsSustainabilityNotSatisfied][0][EmissionsBiofuelsSustainabilityNotSatisfied]",Submission!$O:$O,Submission!$H:$N,""))</f>
        <v>0</v>
      </c>
      <c r="H1486" s="408"/>
      <c r="I1486" s="408"/>
    </row>
    <row r="1487" spans="1:10" ht="15.9" customHeight="1" x14ac:dyDescent="0.3">
      <c r="D1487" s="11"/>
      <c r="E1487" s="11"/>
      <c r="F1487" s="11"/>
      <c r="G1487" s="11"/>
    </row>
    <row r="1488" spans="1:10" ht="17.25" customHeight="1" x14ac:dyDescent="0.3">
      <c r="A1488" s="12" t="s">
        <v>332</v>
      </c>
      <c r="B1488" s="275" t="s">
        <v>963</v>
      </c>
      <c r="C1488" s="276"/>
      <c r="D1488" s="276"/>
      <c r="E1488" s="276"/>
      <c r="F1488" s="276"/>
      <c r="G1488" s="276"/>
      <c r="H1488" s="276"/>
      <c r="I1488" s="276"/>
    </row>
    <row r="1489" spans="1:9" ht="16.5" customHeight="1" x14ac:dyDescent="0.3">
      <c r="A1489" s="12"/>
      <c r="B1489" s="15" t="s">
        <v>8</v>
      </c>
      <c r="C1489" s="339" t="s">
        <v>970</v>
      </c>
      <c r="D1489" s="360"/>
      <c r="E1489" s="360"/>
      <c r="F1489" s="360"/>
      <c r="G1489" s="360"/>
      <c r="H1489" s="360"/>
      <c r="I1489" s="360"/>
    </row>
    <row r="1490" spans="1:9" ht="30" customHeight="1" x14ac:dyDescent="0.3">
      <c r="A1490" s="12"/>
      <c r="B1490" s="15" t="s">
        <v>8</v>
      </c>
      <c r="C1490" s="339" t="s">
        <v>971</v>
      </c>
      <c r="D1490" s="360"/>
      <c r="E1490" s="360"/>
      <c r="F1490" s="360"/>
      <c r="G1490" s="360"/>
      <c r="H1490" s="360"/>
      <c r="I1490" s="360"/>
    </row>
    <row r="1491" spans="1:9" ht="15" customHeight="1" x14ac:dyDescent="0.3">
      <c r="A1491" s="12"/>
      <c r="B1491" s="15" t="s">
        <v>8</v>
      </c>
      <c r="C1491" s="339" t="s">
        <v>972</v>
      </c>
      <c r="D1491" s="360"/>
      <c r="E1491" s="360"/>
      <c r="F1491" s="360"/>
      <c r="G1491" s="360"/>
      <c r="H1491" s="360"/>
      <c r="I1491" s="360"/>
    </row>
    <row r="1492" spans="1:9" ht="16.5" customHeight="1" x14ac:dyDescent="0.3">
      <c r="A1492" s="12"/>
      <c r="B1492" s="15" t="s">
        <v>8</v>
      </c>
      <c r="C1492" s="327" t="s">
        <v>973</v>
      </c>
      <c r="D1492" s="362"/>
      <c r="E1492" s="362"/>
      <c r="F1492" s="362"/>
      <c r="G1492" s="362"/>
      <c r="H1492" s="362"/>
      <c r="I1492" s="362"/>
    </row>
    <row r="1493" spans="1:9" s="58" customFormat="1" ht="32.25" customHeight="1" x14ac:dyDescent="0.3">
      <c r="A1493" s="75"/>
      <c r="C1493" s="269" t="s">
        <v>974</v>
      </c>
      <c r="D1493" s="270"/>
      <c r="E1493" s="270"/>
      <c r="F1493" s="270"/>
      <c r="G1493" s="271"/>
      <c r="H1493" s="351" t="str">
        <f>_xlfn.CONCAT(_xlfn.XLOOKUP("[S05_SmallEmittersTool][1][CountSmallEmitters]",Submission!$O:$O,Submission!$H:$N,""))</f>
        <v>2</v>
      </c>
      <c r="I1493" s="361"/>
    </row>
    <row r="1494" spans="1:9" s="58" customFormat="1" ht="32.25" customHeight="1" x14ac:dyDescent="0.3">
      <c r="A1494" s="75"/>
      <c r="C1494" s="269" t="s">
        <v>975</v>
      </c>
      <c r="D1494" s="270"/>
      <c r="E1494" s="270"/>
      <c r="F1494" s="270"/>
      <c r="G1494" s="271"/>
      <c r="H1494" s="351" t="str">
        <f>_xlfn.CONCAT(_xlfn.XLOOKUP("[S05_SmallEmittersTool][2][CountSmallEmitters]",Submission!$O:$O,Submission!$H:$N,""))</f>
        <v>3</v>
      </c>
      <c r="I1494" s="361"/>
    </row>
    <row r="1495" spans="1:9" s="58" customFormat="1" ht="32.25" customHeight="1" x14ac:dyDescent="0.3">
      <c r="A1495" s="75"/>
      <c r="C1495" s="269" t="s">
        <v>976</v>
      </c>
      <c r="D1495" s="270"/>
      <c r="E1495" s="270"/>
      <c r="F1495" s="270"/>
      <c r="G1495" s="271"/>
      <c r="H1495" s="351" t="str">
        <f>_xlfn.CONCAT(_xlfn.XLOOKUP("[S05_SmallEmittersTool][3][CountSmallEmitters]",Submission!$O:$O,Submission!$H:$N,""))</f>
        <v>0</v>
      </c>
      <c r="I1495" s="361"/>
    </row>
    <row r="1496" spans="1:9" s="58" customFormat="1" ht="32.25" customHeight="1" x14ac:dyDescent="0.3">
      <c r="A1496" s="75"/>
      <c r="C1496" s="269" t="s">
        <v>977</v>
      </c>
      <c r="D1496" s="270"/>
      <c r="E1496" s="270"/>
      <c r="F1496" s="270"/>
      <c r="G1496" s="271"/>
      <c r="H1496" s="351" t="str">
        <f>_xlfn.CONCAT(_xlfn.XLOOKUP("[S05_SmallEmittersTool][4][CountSmallEmitters]",Submission!$O:$O,Submission!$H:$N,""))</f>
        <v>4</v>
      </c>
      <c r="I1496" s="361"/>
    </row>
    <row r="1497" spans="1:9" ht="15.9" customHeight="1" x14ac:dyDescent="0.3">
      <c r="D1497" s="11"/>
      <c r="E1497" s="11"/>
      <c r="F1497" s="11"/>
      <c r="G1497" s="11"/>
    </row>
    <row r="1498" spans="1:9" ht="32.1" customHeight="1" x14ac:dyDescent="0.3">
      <c r="A1498" s="12" t="s">
        <v>337</v>
      </c>
      <c r="B1498" s="275" t="s">
        <v>978</v>
      </c>
      <c r="C1498" s="276"/>
      <c r="D1498" s="276"/>
      <c r="E1498" s="276"/>
      <c r="F1498" s="276"/>
      <c r="G1498" s="276"/>
      <c r="H1498" s="276"/>
      <c r="I1498" s="276"/>
    </row>
    <row r="1499" spans="1:9" ht="15.9" customHeight="1" x14ac:dyDescent="0.3">
      <c r="A1499" s="13"/>
      <c r="C1499" s="314" t="s">
        <v>979</v>
      </c>
      <c r="D1499" s="315"/>
      <c r="E1499" s="315"/>
      <c r="F1499" s="316"/>
      <c r="G1499" s="314" t="s">
        <v>980</v>
      </c>
      <c r="H1499" s="315"/>
      <c r="I1499" s="316"/>
    </row>
    <row r="1500" spans="1:9" ht="15.9" customHeight="1" x14ac:dyDescent="0.3">
      <c r="A1500" s="13"/>
      <c r="C1500" s="351" t="str">
        <f>_xlfn.CONCAT(_xlfn.XLOOKUP("[AircraftImprovementReportRequired][0][AircraftImprovementReportRequired]",Submission!$O:$O,Submission!$H:$N,""))</f>
        <v>0</v>
      </c>
      <c r="D1500" s="363"/>
      <c r="E1500" s="363"/>
      <c r="F1500" s="361"/>
      <c r="G1500" s="351" t="str">
        <f>_xlfn.CONCAT(_xlfn.XLOOKUP("[AircraftImprovementReportSubmitted][0][AircraftImprovementReportSubmitted]",Submission!$O:$O,Submission!$H:$N,""))</f>
        <v>0</v>
      </c>
      <c r="H1500" s="363"/>
      <c r="I1500" s="361"/>
    </row>
    <row r="1501" spans="1:9" ht="15.9" customHeight="1" x14ac:dyDescent="0.3">
      <c r="A1501" s="13"/>
      <c r="C1501" s="29"/>
      <c r="D1501" s="29"/>
    </row>
    <row r="1502" spans="1:9" ht="15.9" customHeight="1" x14ac:dyDescent="0.3">
      <c r="A1502" s="12" t="s">
        <v>343</v>
      </c>
      <c r="B1502" s="392" t="s">
        <v>981</v>
      </c>
      <c r="C1502" s="374"/>
      <c r="D1502" s="374"/>
      <c r="E1502" s="374"/>
      <c r="F1502" s="374"/>
      <c r="G1502" s="374"/>
      <c r="H1502" s="374"/>
      <c r="I1502" s="374"/>
    </row>
    <row r="1503" spans="1:9" ht="32.1" customHeight="1" x14ac:dyDescent="0.3">
      <c r="A1503" s="13"/>
      <c r="B1503" s="338" t="s">
        <v>937</v>
      </c>
      <c r="C1503" s="308"/>
      <c r="D1503" s="308"/>
      <c r="E1503" s="308"/>
      <c r="F1503" s="308"/>
      <c r="G1503" s="308"/>
      <c r="H1503" s="345"/>
      <c r="I1503" s="41" t="str">
        <f>_xlfn.CONCAT(_xlfn.XLOOKUP("[AircraftSimplifiedMonitoringArt13][0][AircraftSimplifiedMonitoringArt13]",Submission!$O:$O,Submission!$H:$N,""))</f>
        <v>No</v>
      </c>
    </row>
    <row r="1504" spans="1:9" ht="15.9" customHeight="1" x14ac:dyDescent="0.3">
      <c r="A1504" s="12"/>
      <c r="B1504" s="275" t="s">
        <v>982</v>
      </c>
      <c r="C1504" s="276"/>
      <c r="D1504" s="276"/>
      <c r="E1504" s="276"/>
      <c r="F1504" s="276"/>
      <c r="G1504" s="276"/>
      <c r="H1504" s="276"/>
      <c r="I1504" s="276"/>
    </row>
    <row r="1505" spans="1:9" ht="15.9" customHeight="1" x14ac:dyDescent="0.3">
      <c r="A1505" s="13"/>
      <c r="C1505" s="357" t="s">
        <v>939</v>
      </c>
      <c r="D1505" s="357"/>
      <c r="E1505" s="357"/>
      <c r="F1505" s="357"/>
      <c r="G1505" s="357" t="s">
        <v>940</v>
      </c>
      <c r="H1505" s="357"/>
      <c r="I1505" s="357"/>
    </row>
    <row r="1506" spans="1:9" ht="26.4" customHeight="1" x14ac:dyDescent="0.3">
      <c r="A1506" s="13"/>
      <c r="C1506" s="274" t="str">
        <f>_xlfn.CONCAT(_xlfn.XLOOKUP("[S05_AircraftSimplifiedMonitoringArt13Detail][1][AircraftRiskAssessmentType]",Submission!$O:$O,Submission!$H:$N,""))</f>
        <v/>
      </c>
      <c r="D1506" s="353"/>
      <c r="E1506" s="353"/>
      <c r="F1506" s="260"/>
      <c r="G1506" s="354" t="str">
        <f>_xlfn.CONCAT(_xlfn.XLOOKUP("[S05_AircraftSimplifiedMonitoringArt13Detail][1][AircraftGeneralRiskAssessmentPrinciples]",Submission!$O:$O,Submission!$H:$N,""))</f>
        <v/>
      </c>
      <c r="H1506" s="354"/>
      <c r="I1506" s="354"/>
    </row>
    <row r="1507" spans="1:9" ht="26.4" customHeight="1" x14ac:dyDescent="0.3">
      <c r="A1507" s="13"/>
      <c r="C1507" s="274" t="str">
        <f>_xlfn.CONCAT(_xlfn.XLOOKUP("[S05_AircraftSimplifiedMonitoringArt13Detail][2][AircraftRiskAssessmentType]",Submission!$O:$O,Submission!$H:$N,""))</f>
        <v/>
      </c>
      <c r="D1507" s="353"/>
      <c r="E1507" s="353"/>
      <c r="F1507" s="260"/>
      <c r="G1507" s="354" t="str">
        <f>_xlfn.CONCAT(_xlfn.XLOOKUP("[S05_AircraftSimplifiedMonitoringArt13Detail][2][AircraftGeneralRiskAssessmentPrinciples]",Submission!$O:$O,Submission!$H:$N,""))</f>
        <v/>
      </c>
      <c r="H1507" s="354"/>
      <c r="I1507" s="354"/>
    </row>
    <row r="1508" spans="1:9" ht="26.4" hidden="1" customHeight="1" outlineLevel="1" x14ac:dyDescent="0.3">
      <c r="A1508" s="13"/>
      <c r="C1508" s="274" t="str">
        <f>_xlfn.CONCAT(_xlfn.XLOOKUP("[S05_AircraftSimplifiedMonitoringArt13Detail][3][AircraftRiskAssessmentType]",Submission!$O:$O,Submission!$H:$N,""))</f>
        <v/>
      </c>
      <c r="D1508" s="353"/>
      <c r="E1508" s="353"/>
      <c r="F1508" s="260"/>
      <c r="G1508" s="354" t="str">
        <f>_xlfn.CONCAT(_xlfn.XLOOKUP("[S05_AircraftSimplifiedMonitoringArt13Detail][3][AircraftGeneralRiskAssessmentPrinciples]",Submission!$O:$O,Submission!$H:$N,""))</f>
        <v/>
      </c>
      <c r="H1508" s="354"/>
      <c r="I1508" s="354"/>
    </row>
    <row r="1509" spans="1:9" ht="26.4" hidden="1" customHeight="1" outlineLevel="1" x14ac:dyDescent="0.3">
      <c r="A1509" s="13"/>
      <c r="C1509" s="274" t="str">
        <f>_xlfn.CONCAT(_xlfn.XLOOKUP("[S05_AircraftSimplifiedMonitoringArt13Detail][4][AircraftRiskAssessmentType]",Submission!$O:$O,Submission!$H:$N,""))</f>
        <v/>
      </c>
      <c r="D1509" s="353"/>
      <c r="E1509" s="353"/>
      <c r="F1509" s="260"/>
      <c r="G1509" s="354" t="str">
        <f>_xlfn.CONCAT(_xlfn.XLOOKUP("[S05_AircraftSimplifiedMonitoringArt13Detail][4][AircraftGeneralRiskAssessmentPrinciples]",Submission!$O:$O,Submission!$H:$N,""))</f>
        <v/>
      </c>
      <c r="H1509" s="354"/>
      <c r="I1509" s="354"/>
    </row>
    <row r="1510" spans="1:9" ht="26.4" hidden="1" customHeight="1" outlineLevel="1" x14ac:dyDescent="0.3">
      <c r="A1510" s="13"/>
      <c r="C1510" s="274" t="str">
        <f>_xlfn.CONCAT(_xlfn.XLOOKUP("[S05_AircraftSimplifiedMonitoringArt13Detail][5][AircraftRiskAssessmentType]",Submission!$O:$O,Submission!$H:$N,""))</f>
        <v/>
      </c>
      <c r="D1510" s="353"/>
      <c r="E1510" s="353"/>
      <c r="F1510" s="260"/>
      <c r="G1510" s="354" t="str">
        <f>_xlfn.CONCAT(_xlfn.XLOOKUP("[S05_AircraftSimplifiedMonitoringArt13Detail][5][AircraftGeneralRiskAssessmentPrinciples]",Submission!$O:$O,Submission!$H:$N,""))</f>
        <v/>
      </c>
      <c r="H1510" s="354"/>
      <c r="I1510" s="354"/>
    </row>
    <row r="1511" spans="1:9" ht="15.9" customHeight="1" collapsed="1" x14ac:dyDescent="0.3">
      <c r="C1511" s="355" t="s">
        <v>941</v>
      </c>
      <c r="D1511" s="356"/>
      <c r="E1511" s="356"/>
      <c r="F1511" s="356"/>
      <c r="G1511" s="356"/>
      <c r="H1511" s="356"/>
      <c r="I1511" s="356"/>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2" t="s">
        <v>983</v>
      </c>
      <c r="C3" s="452"/>
      <c r="D3" s="452"/>
      <c r="E3" s="452"/>
      <c r="F3" s="452"/>
      <c r="G3" s="452"/>
      <c r="H3" s="452"/>
      <c r="I3" s="452"/>
    </row>
    <row r="4" spans="1:9" s="7" customFormat="1" ht="18.899999999999999" customHeight="1" x14ac:dyDescent="0.3">
      <c r="A4" s="115" t="s">
        <v>984</v>
      </c>
      <c r="B4" s="453" t="s">
        <v>145</v>
      </c>
      <c r="C4" s="453"/>
      <c r="D4" s="453"/>
      <c r="E4" s="453"/>
      <c r="F4" s="453"/>
      <c r="G4" s="453"/>
      <c r="H4" s="453"/>
      <c r="I4" s="454"/>
    </row>
    <row r="5" spans="1:9" ht="34.200000000000003" customHeight="1" x14ac:dyDescent="0.3">
      <c r="A5" s="12" t="s">
        <v>350</v>
      </c>
      <c r="B5" s="312" t="s">
        <v>985</v>
      </c>
      <c r="C5" s="313"/>
      <c r="D5" s="313"/>
      <c r="E5" s="313"/>
      <c r="F5" s="313"/>
      <c r="G5" s="313"/>
      <c r="H5" s="313"/>
      <c r="I5" s="313"/>
    </row>
    <row r="6" spans="1:9" ht="22.95" customHeight="1" x14ac:dyDescent="0.3">
      <c r="C6" s="380"/>
      <c r="D6" s="380"/>
      <c r="E6" s="380"/>
      <c r="F6" s="422" t="s">
        <v>986</v>
      </c>
      <c r="G6" s="423"/>
      <c r="H6" s="455" t="s">
        <v>987</v>
      </c>
      <c r="I6" s="455"/>
    </row>
    <row r="7" spans="1:9" ht="29.4" customHeight="1" x14ac:dyDescent="0.3">
      <c r="C7" s="380"/>
      <c r="D7" s="380"/>
      <c r="E7" s="380"/>
      <c r="F7" s="46" t="s">
        <v>726</v>
      </c>
      <c r="G7" s="46" t="s">
        <v>988</v>
      </c>
      <c r="H7" s="116" t="s">
        <v>726</v>
      </c>
      <c r="I7" s="117" t="s">
        <v>989</v>
      </c>
    </row>
    <row r="8" spans="1:9" s="58" customFormat="1" ht="33.6" customHeight="1" x14ac:dyDescent="0.3">
      <c r="A8" s="75"/>
      <c r="C8" s="448" t="s">
        <v>990</v>
      </c>
      <c r="D8" s="449"/>
      <c r="E8" s="450"/>
      <c r="F8" s="105" t="str">
        <f>_xlfn.CONCAT(_xlfn.XLOOKUP("[S06_TotalVerifiers][1][CountVerifiersInstallations]",Submission!$O:$O,Submission!$H:$N,""))</f>
        <v>5</v>
      </c>
      <c r="G8" s="119"/>
      <c r="H8" s="105" t="str">
        <f>_xlfn.CONCAT(_xlfn.XLOOKUP("[S06_TotalVerifiers][1][CountVerifiersAviation]",Submission!$O:$O,Submission!$H:$N,""))</f>
        <v>1</v>
      </c>
      <c r="I8" s="119"/>
    </row>
    <row r="9" spans="1:9" s="58" customFormat="1" ht="33.6" customHeight="1" x14ac:dyDescent="0.3">
      <c r="A9" s="75"/>
      <c r="C9" s="448" t="s">
        <v>991</v>
      </c>
      <c r="D9" s="449"/>
      <c r="E9" s="450"/>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48" t="s">
        <v>992</v>
      </c>
      <c r="D10" s="449"/>
      <c r="E10" s="450"/>
      <c r="F10" s="105" t="str">
        <f>_xlfn.CONCAT(_xlfn.XLOOKUP("[S06_TotalVerifiers][3][CountVerifiersInstallations]",Submission!$O:$O,Submission!$H:$N,""))</f>
        <v>1</v>
      </c>
      <c r="G10" s="72" t="str">
        <f>_xlfn.CONCAT(_xlfn.XLOOKUP("[S06_TotalVerifiers][3][MSVerifiersInstallations]",Submission!$O:$O,Submission!$H:$N,""))</f>
        <v/>
      </c>
      <c r="H10" s="105" t="str">
        <f>_xlfn.CONCAT(_xlfn.XLOOKUP("[S06_TotalVerifiers][3][CountVerifiersAviation]",Submission!$O:$O,Submission!$H:$N,""))</f>
        <v>0</v>
      </c>
      <c r="I10" s="47" t="str">
        <f>_xlfn.CONCAT(_xlfn.XLOOKUP("[S06_TotalVerifiers][3][MSVerifiersAviation]",Submission!$O:$O,Submission!$H:$N,""))</f>
        <v/>
      </c>
    </row>
    <row r="11" spans="1:9" s="58" customFormat="1" ht="33.6" customHeight="1" x14ac:dyDescent="0.3">
      <c r="A11" s="75"/>
      <c r="C11" s="451" t="s">
        <v>993</v>
      </c>
      <c r="D11" s="451"/>
      <c r="E11" s="451"/>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0</v>
      </c>
    </row>
    <row r="12" spans="1:9" ht="15.9" customHeight="1" x14ac:dyDescent="0.3">
      <c r="B12" s="262" t="s">
        <v>994</v>
      </c>
      <c r="C12" s="262"/>
      <c r="D12" s="262"/>
      <c r="E12" s="262"/>
      <c r="F12" s="262"/>
      <c r="G12" s="262"/>
      <c r="H12" s="262"/>
      <c r="I12" s="262"/>
    </row>
    <row r="13" spans="1:9" ht="15.9" customHeight="1" x14ac:dyDescent="0.3">
      <c r="B13" s="262" t="s">
        <v>995</v>
      </c>
      <c r="C13" s="262"/>
      <c r="D13" s="262"/>
      <c r="E13" s="262"/>
      <c r="F13" s="262"/>
      <c r="G13" s="262"/>
      <c r="H13" s="262"/>
      <c r="I13" s="262"/>
    </row>
    <row r="14" spans="1:9" ht="15.9" customHeight="1" x14ac:dyDescent="0.3">
      <c r="B14" s="20"/>
      <c r="C14" s="20"/>
      <c r="D14" s="20"/>
      <c r="E14" s="20"/>
      <c r="F14" s="20"/>
      <c r="G14" s="20"/>
      <c r="H14" s="20"/>
      <c r="I14" s="20"/>
    </row>
    <row r="15" spans="1:9" ht="49.95" customHeight="1" x14ac:dyDescent="0.3">
      <c r="B15" s="275" t="s">
        <v>996</v>
      </c>
      <c r="C15" s="275"/>
      <c r="D15" s="275"/>
      <c r="E15" s="275"/>
      <c r="F15" s="275"/>
      <c r="G15" s="275"/>
      <c r="H15" s="275"/>
      <c r="I15" s="275"/>
    </row>
    <row r="16" spans="1:9" ht="39.75" customHeight="1" x14ac:dyDescent="0.3">
      <c r="B16" s="20"/>
      <c r="C16" s="314" t="s">
        <v>997</v>
      </c>
      <c r="D16" s="333"/>
      <c r="E16" s="333"/>
      <c r="F16" s="333"/>
      <c r="G16" s="334"/>
      <c r="H16" s="45" t="s">
        <v>998</v>
      </c>
      <c r="I16" s="45" t="s">
        <v>999</v>
      </c>
    </row>
    <row r="17" spans="2:9" ht="27.6" customHeight="1" x14ac:dyDescent="0.3">
      <c r="B17" s="20"/>
      <c r="C17" s="419"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20"/>
      <c r="E17" s="420"/>
      <c r="F17" s="420"/>
      <c r="G17" s="421"/>
      <c r="H17" s="132" t="str">
        <f>_xlfn.CONCAT(_xlfn.XLOOKUP("[S06_AccredCertVerifiersAnnexI][1][NumberAccredited]",Submission!$O:$O,Submission!$H:$N,""))</f>
        <v>5</v>
      </c>
      <c r="I17" s="132" t="str">
        <f>_xlfn.CONCAT(_xlfn.XLOOKUP("[S06_AccredCertVerifiersAnnexI][1][NumberCertified]",Submission!$O:$O,Submission!$H:$N,""))</f>
        <v>0</v>
      </c>
    </row>
    <row r="18" spans="2:9" ht="27.6" customHeight="1" x14ac:dyDescent="0.3">
      <c r="B18" s="20"/>
      <c r="C18" s="419" t="str">
        <f>_xlfn.CONCAT(_xlfn.XLOOKUP("[S06_AccredCertVerifiersAnnexI][2][AccredCertScope]",Submission!$O:$O,Submission!$H:$N,""))</f>
        <v>1b - Combustion of fuels in installations, without restrictions</v>
      </c>
      <c r="D18" s="420"/>
      <c r="E18" s="420"/>
      <c r="F18" s="420"/>
      <c r="G18" s="421"/>
      <c r="H18" s="132" t="str">
        <f>_xlfn.CONCAT(_xlfn.XLOOKUP("[S06_AccredCertVerifiersAnnexI][2][NumberAccredited]",Submission!$O:$O,Submission!$H:$N,""))</f>
        <v>5</v>
      </c>
      <c r="I18" s="132" t="str">
        <f>_xlfn.CONCAT(_xlfn.XLOOKUP("[S06_AccredCertVerifiersAnnexI][2][NumberCertified]",Submission!$O:$O,Submission!$H:$N,""))</f>
        <v>0</v>
      </c>
    </row>
    <row r="19" spans="2:9" ht="27.6" customHeight="1" x14ac:dyDescent="0.3">
      <c r="B19" s="20"/>
      <c r="C19" s="419" t="str">
        <f>_xlfn.CONCAT(_xlfn.XLOOKUP("[S06_AccredCertVerifiersAnnexI][3][AccredCertScope]",Submission!$O:$O,Submission!$H:$N,""))</f>
        <v>2 - Refining of mineral oil</v>
      </c>
      <c r="D19" s="420"/>
      <c r="E19" s="420"/>
      <c r="F19" s="420"/>
      <c r="G19" s="421"/>
      <c r="H19" s="132" t="str">
        <f>_xlfn.CONCAT(_xlfn.XLOOKUP("[S06_AccredCertVerifiersAnnexI][3][NumberAccredited]",Submission!$O:$O,Submission!$H:$N,""))</f>
        <v>2</v>
      </c>
      <c r="I19" s="132" t="str">
        <f>_xlfn.CONCAT(_xlfn.XLOOKUP("[S06_AccredCertVerifiersAnnexI][3][NumberCertified]",Submission!$O:$O,Submission!$H:$N,""))</f>
        <v>0</v>
      </c>
    </row>
    <row r="20" spans="2:9" ht="27.6" customHeight="1" x14ac:dyDescent="0.3">
      <c r="B20" s="20"/>
      <c r="C20" s="419" t="str">
        <f>_xlfn.CONCAT(_xlfn.XLOOKUP("[S06_AccredCertVerifiersAnnexI][4][AccredCertScope]",Submission!$O:$O,Submission!$H:$N,""))</f>
        <v xml:space="preserve">3 - Production of coke </v>
      </c>
      <c r="D20" s="420"/>
      <c r="E20" s="420"/>
      <c r="F20" s="420"/>
      <c r="G20" s="421"/>
      <c r="H20" s="132" t="str">
        <f>_xlfn.CONCAT(_xlfn.XLOOKUP("[S06_AccredCertVerifiersAnnexI][4][NumberAccredited]",Submission!$O:$O,Submission!$H:$N,""))</f>
        <v>3</v>
      </c>
      <c r="I20" s="132" t="str">
        <f>_xlfn.CONCAT(_xlfn.XLOOKUP("[S06_AccredCertVerifiersAnnexI][4][NumberCertified]",Submission!$O:$O,Submission!$H:$N,""))</f>
        <v>0</v>
      </c>
    </row>
    <row r="21" spans="2:9" ht="27.6" customHeight="1" x14ac:dyDescent="0.3">
      <c r="B21" s="20"/>
      <c r="C21" s="419" t="str">
        <f>_xlfn.CONCAT(_xlfn.XLOOKUP("[S06_AccredCertVerifiersAnnexI][5][AccredCertScope]",Submission!$O:$O,Submission!$H:$N,""))</f>
        <v xml:space="preserve">3 - Metal ore (including sulphide ore) roasting or sintering, including pelletisation </v>
      </c>
      <c r="D21" s="420"/>
      <c r="E21" s="420"/>
      <c r="F21" s="420"/>
      <c r="G21" s="421"/>
      <c r="H21" s="132" t="str">
        <f>_xlfn.CONCAT(_xlfn.XLOOKUP("[S06_AccredCertVerifiersAnnexI][5][NumberAccredited]",Submission!$O:$O,Submission!$H:$N,""))</f>
        <v>3</v>
      </c>
      <c r="I21" s="132" t="str">
        <f>_xlfn.CONCAT(_xlfn.XLOOKUP("[S06_AccredCertVerifiersAnnexI][5][NumberCertified]",Submission!$O:$O,Submission!$H:$N,""))</f>
        <v>0</v>
      </c>
    </row>
    <row r="22" spans="2:9" ht="27.6" customHeight="1" x14ac:dyDescent="0.3">
      <c r="B22" s="20"/>
      <c r="C22" s="419" t="str">
        <f>_xlfn.CONCAT(_xlfn.XLOOKUP("[S06_AccredCertVerifiersAnnexI][6][AccredCertScope]",Submission!$O:$O,Submission!$H:$N,""))</f>
        <v>3 - Production of pig iron or steel (primary or secondary fusion) including continuous casting</v>
      </c>
      <c r="D22" s="420"/>
      <c r="E22" s="420"/>
      <c r="F22" s="420"/>
      <c r="G22" s="421"/>
      <c r="H22" s="132" t="str">
        <f>_xlfn.CONCAT(_xlfn.XLOOKUP("[S06_AccredCertVerifiersAnnexI][6][NumberAccredited]",Submission!$O:$O,Submission!$H:$N,""))</f>
        <v>3</v>
      </c>
      <c r="I22" s="132" t="str">
        <f>_xlfn.CONCAT(_xlfn.XLOOKUP("[S06_AccredCertVerifiersAnnexI][6][NumberCertified]",Submission!$O:$O,Submission!$H:$N,""))</f>
        <v>0</v>
      </c>
    </row>
    <row r="23" spans="2:9" ht="27.6" customHeight="1" x14ac:dyDescent="0.3">
      <c r="B23" s="20"/>
      <c r="C23" s="419" t="str">
        <f>_xlfn.CONCAT(_xlfn.XLOOKUP("[S06_AccredCertVerifiersAnnexI][7][AccredCertScope]",Submission!$O:$O,Submission!$H:$N,""))</f>
        <v xml:space="preserve">4 - Production or processing of ferrous metals (including ferro-alloys) </v>
      </c>
      <c r="D23" s="420"/>
      <c r="E23" s="420"/>
      <c r="F23" s="420"/>
      <c r="G23" s="421"/>
      <c r="H23" s="132" t="str">
        <f>_xlfn.CONCAT(_xlfn.XLOOKUP("[S06_AccredCertVerifiersAnnexI][7][NumberAccredited]",Submission!$O:$O,Submission!$H:$N,""))</f>
        <v>3</v>
      </c>
      <c r="I23" s="132" t="str">
        <f>_xlfn.CONCAT(_xlfn.XLOOKUP("[S06_AccredCertVerifiersAnnexI][7][NumberCertified]",Submission!$O:$O,Submission!$H:$N,""))</f>
        <v>0</v>
      </c>
    </row>
    <row r="24" spans="2:9" ht="27.6" customHeight="1" x14ac:dyDescent="0.3">
      <c r="B24" s="20"/>
      <c r="C24" s="419" t="str">
        <f>_xlfn.CONCAT(_xlfn.XLOOKUP("[S06_AccredCertVerifiersAnnexI][8][AccredCertScope]",Submission!$O:$O,Submission!$H:$N,""))</f>
        <v xml:space="preserve">4 - Production or processing of ferrous metals (including ferro-alloys) </v>
      </c>
      <c r="D24" s="420"/>
      <c r="E24" s="420"/>
      <c r="F24" s="420"/>
      <c r="G24" s="421"/>
      <c r="H24" s="132" t="str">
        <f>_xlfn.CONCAT(_xlfn.XLOOKUP("[S06_AccredCertVerifiersAnnexI][8][NumberAccredited]",Submission!$O:$O,Submission!$H:$N,""))</f>
        <v>3</v>
      </c>
      <c r="I24" s="132" t="str">
        <f>_xlfn.CONCAT(_xlfn.XLOOKUP("[S06_AccredCertVerifiersAnnexI][8][NumberCertified]",Submission!$O:$O,Submission!$H:$N,""))</f>
        <v>0</v>
      </c>
    </row>
    <row r="25" spans="2:9" ht="27.6" customHeight="1" x14ac:dyDescent="0.3">
      <c r="B25" s="20"/>
      <c r="C25" s="419" t="str">
        <f>_xlfn.CONCAT(_xlfn.XLOOKUP("[S06_AccredCertVerifiersAnnexI][9][AccredCertScope]",Submission!$O:$O,Submission!$H:$N,""))</f>
        <v xml:space="preserve">4 - Production or processing of non-ferrous metals, including production of alloys </v>
      </c>
      <c r="D25" s="420"/>
      <c r="E25" s="420"/>
      <c r="F25" s="420"/>
      <c r="G25" s="421"/>
      <c r="H25" s="132" t="str">
        <f>_xlfn.CONCAT(_xlfn.XLOOKUP("[S06_AccredCertVerifiersAnnexI][9][NumberAccredited]",Submission!$O:$O,Submission!$H:$N,""))</f>
        <v>3</v>
      </c>
      <c r="I25" s="132" t="str">
        <f>_xlfn.CONCAT(_xlfn.XLOOKUP("[S06_AccredCertVerifiersAnnexI][9][NumberCertified]",Submission!$O:$O,Submission!$H:$N,""))</f>
        <v>0</v>
      </c>
    </row>
    <row r="26" spans="2:9" ht="27.6" customHeight="1" x14ac:dyDescent="0.3">
      <c r="B26" s="20"/>
      <c r="C26" s="419" t="str">
        <f>_xlfn.CONCAT(_xlfn.XLOOKUP("[S06_AccredCertVerifiersAnnexI][10][AccredCertScope]",Submission!$O:$O,Submission!$H:$N,""))</f>
        <v xml:space="preserve">6 - Production of cement clinker </v>
      </c>
      <c r="D26" s="420"/>
      <c r="E26" s="420"/>
      <c r="F26" s="420"/>
      <c r="G26" s="421"/>
      <c r="H26" s="132" t="str">
        <f>_xlfn.CONCAT(_xlfn.XLOOKUP("[S06_AccredCertVerifiersAnnexI][10][NumberAccredited]",Submission!$O:$O,Submission!$H:$N,""))</f>
        <v>5</v>
      </c>
      <c r="I26" s="132" t="str">
        <f>_xlfn.CONCAT(_xlfn.XLOOKUP("[S06_AccredCertVerifiersAnnexI][10][NumberCertified]",Submission!$O:$O,Submission!$H:$N,""))</f>
        <v>0</v>
      </c>
    </row>
    <row r="27" spans="2:9" ht="27.6" customHeight="1" x14ac:dyDescent="0.3">
      <c r="B27" s="20"/>
      <c r="C27" s="419" t="str">
        <f>_xlfn.CONCAT(_xlfn.XLOOKUP("[S06_AccredCertVerifiersAnnexI][11][AccredCertScope]",Submission!$O:$O,Submission!$H:$N,""))</f>
        <v xml:space="preserve">6 - Production of lime or calcination of dolomite or magnesite </v>
      </c>
      <c r="D27" s="420"/>
      <c r="E27" s="420"/>
      <c r="F27" s="420"/>
      <c r="G27" s="421"/>
      <c r="H27" s="132" t="str">
        <f>_xlfn.CONCAT(_xlfn.XLOOKUP("[S06_AccredCertVerifiersAnnexI][11][NumberAccredited]",Submission!$O:$O,Submission!$H:$N,""))</f>
        <v>5</v>
      </c>
      <c r="I27" s="132" t="str">
        <f>_xlfn.CONCAT(_xlfn.XLOOKUP("[S06_AccredCertVerifiersAnnexI][11][NumberCertified]",Submission!$O:$O,Submission!$H:$N,""))</f>
        <v>0</v>
      </c>
    </row>
    <row r="28" spans="2:9" ht="27.6" customHeight="1" x14ac:dyDescent="0.3">
      <c r="B28" s="20"/>
      <c r="C28" s="419" t="str">
        <f>_xlfn.CONCAT(_xlfn.XLOOKUP("[S06_AccredCertVerifiersAnnexI][12][AccredCertScope]",Submission!$O:$O,Submission!$H:$N,""))</f>
        <v xml:space="preserve">6 - Manufacture of glass including glass fibre </v>
      </c>
      <c r="D28" s="420"/>
      <c r="E28" s="420"/>
      <c r="F28" s="420"/>
      <c r="G28" s="421"/>
      <c r="H28" s="132" t="str">
        <f>_xlfn.CONCAT(_xlfn.XLOOKUP("[S06_AccredCertVerifiersAnnexI][12][NumberAccredited]",Submission!$O:$O,Submission!$H:$N,""))</f>
        <v>5</v>
      </c>
      <c r="I28" s="132" t="str">
        <f>_xlfn.CONCAT(_xlfn.XLOOKUP("[S06_AccredCertVerifiersAnnexI][12][NumberCertified]",Submission!$O:$O,Submission!$H:$N,""))</f>
        <v>0</v>
      </c>
    </row>
    <row r="29" spans="2:9" ht="27.6" hidden="1" customHeight="1" outlineLevel="1" x14ac:dyDescent="0.3">
      <c r="B29" s="20"/>
      <c r="C29" s="419" t="str">
        <f>_xlfn.CONCAT(_xlfn.XLOOKUP("[S06_AccredCertVerifiersAnnexI][13][AccredCertScope]",Submission!$O:$O,Submission!$H:$N,""))</f>
        <v xml:space="preserve">6 - Manufacture of ceramic products by firing </v>
      </c>
      <c r="D29" s="420"/>
      <c r="E29" s="420"/>
      <c r="F29" s="420"/>
      <c r="G29" s="421"/>
      <c r="H29" s="132" t="str">
        <f>_xlfn.CONCAT(_xlfn.XLOOKUP("[S06_AccredCertVerifiersAnnexI][13][NumberAccredited]",Submission!$O:$O,Submission!$H:$N,""))</f>
        <v>5</v>
      </c>
      <c r="I29" s="132" t="str">
        <f>_xlfn.CONCAT(_xlfn.XLOOKUP("[S06_AccredCertVerifiersAnnexI][13][NumberCertified]",Submission!$O:$O,Submission!$H:$N,""))</f>
        <v>0</v>
      </c>
    </row>
    <row r="30" spans="2:9" ht="27.6" hidden="1" customHeight="1" outlineLevel="1" x14ac:dyDescent="0.3">
      <c r="B30" s="20"/>
      <c r="C30" s="419" t="str">
        <f>_xlfn.CONCAT(_xlfn.XLOOKUP("[S06_AccredCertVerifiersAnnexI][14][AccredCertScope]",Submission!$O:$O,Submission!$H:$N,""))</f>
        <v xml:space="preserve">6 - Manufacture of mineral wool insulation material </v>
      </c>
      <c r="D30" s="420"/>
      <c r="E30" s="420"/>
      <c r="F30" s="420"/>
      <c r="G30" s="421"/>
      <c r="H30" s="132" t="str">
        <f>_xlfn.CONCAT(_xlfn.XLOOKUP("[S06_AccredCertVerifiersAnnexI][14][NumberAccredited]",Submission!$O:$O,Submission!$H:$N,""))</f>
        <v>5</v>
      </c>
      <c r="I30" s="132" t="str">
        <f>_xlfn.CONCAT(_xlfn.XLOOKUP("[S06_AccredCertVerifiersAnnexI][14][NumberCertified]",Submission!$O:$O,Submission!$H:$N,""))</f>
        <v>0</v>
      </c>
    </row>
    <row r="31" spans="2:9" ht="27.6" hidden="1" customHeight="1" outlineLevel="1" x14ac:dyDescent="0.3">
      <c r="B31" s="20"/>
      <c r="C31" s="419" t="str">
        <f>_xlfn.CONCAT(_xlfn.XLOOKUP("[S06_AccredCertVerifiersAnnexI][15][AccredCertScope]",Submission!$O:$O,Submission!$H:$N,""))</f>
        <v>6 - Drying or calcination of gypsum or production of plaster boards and other gypsum products</v>
      </c>
      <c r="D31" s="420"/>
      <c r="E31" s="420"/>
      <c r="F31" s="420"/>
      <c r="G31" s="421"/>
      <c r="H31" s="132" t="str">
        <f>_xlfn.CONCAT(_xlfn.XLOOKUP("[S06_AccredCertVerifiersAnnexI][15][NumberAccredited]",Submission!$O:$O,Submission!$H:$N,""))</f>
        <v>5</v>
      </c>
      <c r="I31" s="132" t="str">
        <f>_xlfn.CONCAT(_xlfn.XLOOKUP("[S06_AccredCertVerifiersAnnexI][15][NumberCertified]",Submission!$O:$O,Submission!$H:$N,""))</f>
        <v>0</v>
      </c>
    </row>
    <row r="32" spans="2:9" ht="27.6" hidden="1" customHeight="1" outlineLevel="1" x14ac:dyDescent="0.3">
      <c r="B32" s="20"/>
      <c r="C32" s="419" t="str">
        <f>_xlfn.CONCAT(_xlfn.XLOOKUP("[S06_AccredCertVerifiersAnnexI][16][AccredCertScope]",Submission!$O:$O,Submission!$H:$N,""))</f>
        <v xml:space="preserve">7 - Production of pulp from timber or other fibrous materials </v>
      </c>
      <c r="D32" s="420"/>
      <c r="E32" s="420"/>
      <c r="F32" s="420"/>
      <c r="G32" s="421"/>
      <c r="H32" s="132" t="str">
        <f>_xlfn.CONCAT(_xlfn.XLOOKUP("[S06_AccredCertVerifiersAnnexI][16][NumberAccredited]",Submission!$O:$O,Submission!$H:$N,""))</f>
        <v>4</v>
      </c>
      <c r="I32" s="132" t="str">
        <f>_xlfn.CONCAT(_xlfn.XLOOKUP("[S06_AccredCertVerifiersAnnexI][16][NumberCertified]",Submission!$O:$O,Submission!$H:$N,""))</f>
        <v>0</v>
      </c>
    </row>
    <row r="33" spans="2:9" ht="27.6" hidden="1" customHeight="1" outlineLevel="1" x14ac:dyDescent="0.3">
      <c r="B33" s="20"/>
      <c r="C33" s="419" t="str">
        <f>_xlfn.CONCAT(_xlfn.XLOOKUP("[S06_AccredCertVerifiersAnnexI][17][AccredCertScope]",Submission!$O:$O,Submission!$H:$N,""))</f>
        <v>7 - Production of paper or cardboard</v>
      </c>
      <c r="D33" s="420"/>
      <c r="E33" s="420"/>
      <c r="F33" s="420"/>
      <c r="G33" s="421"/>
      <c r="H33" s="132" t="str">
        <f>_xlfn.CONCAT(_xlfn.XLOOKUP("[S06_AccredCertVerifiersAnnexI][17][NumberAccredited]",Submission!$O:$O,Submission!$H:$N,""))</f>
        <v>4</v>
      </c>
      <c r="I33" s="132" t="str">
        <f>_xlfn.CONCAT(_xlfn.XLOOKUP("[S06_AccredCertVerifiersAnnexI][17][NumberCertified]",Submission!$O:$O,Submission!$H:$N,""))</f>
        <v>0</v>
      </c>
    </row>
    <row r="34" spans="2:9" ht="27.6" hidden="1" customHeight="1" outlineLevel="1" x14ac:dyDescent="0.3">
      <c r="B34" s="20"/>
      <c r="C34" s="419" t="str">
        <f>_xlfn.CONCAT(_xlfn.XLOOKUP("[S06_AccredCertVerifiersAnnexI][18][AccredCertScope]",Submission!$O:$O,Submission!$H:$N,""))</f>
        <v xml:space="preserve">8 - Production of carbon black </v>
      </c>
      <c r="D34" s="420"/>
      <c r="E34" s="420"/>
      <c r="F34" s="420"/>
      <c r="G34" s="421"/>
      <c r="H34" s="132" t="str">
        <f>_xlfn.CONCAT(_xlfn.XLOOKUP("[S06_AccredCertVerifiersAnnexI][18][NumberAccredited]",Submission!$O:$O,Submission!$H:$N,""))</f>
        <v>3</v>
      </c>
      <c r="I34" s="132" t="str">
        <f>_xlfn.CONCAT(_xlfn.XLOOKUP("[S06_AccredCertVerifiersAnnexI][18][NumberCertified]",Submission!$O:$O,Submission!$H:$N,""))</f>
        <v>0</v>
      </c>
    </row>
    <row r="35" spans="2:9" ht="27.6" hidden="1" customHeight="1" outlineLevel="1" x14ac:dyDescent="0.3">
      <c r="B35" s="20"/>
      <c r="C35" s="419" t="str">
        <f>_xlfn.CONCAT(_xlfn.XLOOKUP("[S06_AccredCertVerifiersAnnexI][19][AccredCertScope]",Submission!$O:$O,Submission!$H:$N,""))</f>
        <v xml:space="preserve">8 - Production of ammonia </v>
      </c>
      <c r="D35" s="420"/>
      <c r="E35" s="420"/>
      <c r="F35" s="420"/>
      <c r="G35" s="421"/>
      <c r="H35" s="132" t="str">
        <f>_xlfn.CONCAT(_xlfn.XLOOKUP("[S06_AccredCertVerifiersAnnexI][19][NumberAccredited]",Submission!$O:$O,Submission!$H:$N,""))</f>
        <v>3</v>
      </c>
      <c r="I35" s="132" t="str">
        <f>_xlfn.CONCAT(_xlfn.XLOOKUP("[S06_AccredCertVerifiersAnnexI][19][NumberCertified]",Submission!$O:$O,Submission!$H:$N,""))</f>
        <v>0</v>
      </c>
    </row>
    <row r="36" spans="2:9" ht="27.6" hidden="1" customHeight="1" outlineLevel="1" x14ac:dyDescent="0.3">
      <c r="B36" s="20"/>
      <c r="C36" s="419" t="str">
        <f>_xlfn.CONCAT(_xlfn.XLOOKUP("[S06_AccredCertVerifiersAnnexI][20][AccredCertScope]",Submission!$O:$O,Submission!$H:$N,""))</f>
        <v xml:space="preserve">8 - Production of bulk organic chemicals by cracking, reforming, partial or full oxidation or by similar processes </v>
      </c>
      <c r="D36" s="420"/>
      <c r="E36" s="420"/>
      <c r="F36" s="420"/>
      <c r="G36" s="421"/>
      <c r="H36" s="132" t="str">
        <f>_xlfn.CONCAT(_xlfn.XLOOKUP("[S06_AccredCertVerifiersAnnexI][20][NumberAccredited]",Submission!$O:$O,Submission!$H:$N,""))</f>
        <v>3</v>
      </c>
      <c r="I36" s="132" t="str">
        <f>_xlfn.CONCAT(_xlfn.XLOOKUP("[S06_AccredCertVerifiersAnnexI][20][NumberCertified]",Submission!$O:$O,Submission!$H:$N,""))</f>
        <v>0</v>
      </c>
    </row>
    <row r="37" spans="2:9" ht="27.6" hidden="1" customHeight="1" outlineLevel="1" x14ac:dyDescent="0.3">
      <c r="B37" s="20"/>
      <c r="C37" s="419" t="str">
        <f>_xlfn.CONCAT(_xlfn.XLOOKUP("[S06_AccredCertVerifiersAnnexI][21][AccredCertScope]",Submission!$O:$O,Submission!$H:$N,""))</f>
        <v xml:space="preserve">8 - Production of hydrogen (H2) and synthesis gas by reforming or partial oxidation </v>
      </c>
      <c r="D37" s="420"/>
      <c r="E37" s="420"/>
      <c r="F37" s="420"/>
      <c r="G37" s="421"/>
      <c r="H37" s="132" t="str">
        <f>_xlfn.CONCAT(_xlfn.XLOOKUP("[S06_AccredCertVerifiersAnnexI][21][NumberAccredited]",Submission!$O:$O,Submission!$H:$N,""))</f>
        <v>3</v>
      </c>
      <c r="I37" s="132" t="str">
        <f>_xlfn.CONCAT(_xlfn.XLOOKUP("[S06_AccredCertVerifiersAnnexI][21][NumberCertified]",Submission!$O:$O,Submission!$H:$N,""))</f>
        <v>0</v>
      </c>
    </row>
    <row r="38" spans="2:9" ht="27.6" hidden="1" customHeight="1" outlineLevel="1" x14ac:dyDescent="0.3">
      <c r="B38" s="20"/>
      <c r="C38" s="419" t="str">
        <f>_xlfn.CONCAT(_xlfn.XLOOKUP("[S06_AccredCertVerifiersAnnexI][22][AccredCertScope]",Submission!$O:$O,Submission!$H:$N,""))</f>
        <v>8 - Production of soda ash (Na2CO3) and sodium bicarbonate (NaHCO3)</v>
      </c>
      <c r="D38" s="420"/>
      <c r="E38" s="420"/>
      <c r="F38" s="420"/>
      <c r="G38" s="421"/>
      <c r="H38" s="132" t="str">
        <f>_xlfn.CONCAT(_xlfn.XLOOKUP("[S06_AccredCertVerifiersAnnexI][22][NumberAccredited]",Submission!$O:$O,Submission!$H:$N,""))</f>
        <v>3</v>
      </c>
      <c r="I38" s="132" t="str">
        <f>_xlfn.CONCAT(_xlfn.XLOOKUP("[S06_AccredCertVerifiersAnnexI][22][NumberCertified]",Submission!$O:$O,Submission!$H:$N,""))</f>
        <v>0</v>
      </c>
    </row>
    <row r="39" spans="2:9" ht="27.6" hidden="1" customHeight="1" outlineLevel="1" x14ac:dyDescent="0.3">
      <c r="B39" s="20"/>
      <c r="C39" s="419" t="str">
        <f>_xlfn.CONCAT(_xlfn.XLOOKUP("[S06_AccredCertVerifiersAnnexI][23][AccredCertScope]",Submission!$O:$O,Submission!$H:$N,""))</f>
        <v xml:space="preserve">9 - Production of nitric acid (CO2 and N2O emissions) </v>
      </c>
      <c r="D39" s="420"/>
      <c r="E39" s="420"/>
      <c r="F39" s="420"/>
      <c r="G39" s="421"/>
      <c r="H39" s="132" t="str">
        <f>_xlfn.CONCAT(_xlfn.XLOOKUP("[S06_AccredCertVerifiersAnnexI][23][NumberAccredited]",Submission!$O:$O,Submission!$H:$N,""))</f>
        <v>3</v>
      </c>
      <c r="I39" s="132" t="str">
        <f>_xlfn.CONCAT(_xlfn.XLOOKUP("[S06_AccredCertVerifiersAnnexI][23][NumberCertified]",Submission!$O:$O,Submission!$H:$N,""))</f>
        <v>0</v>
      </c>
    </row>
    <row r="40" spans="2:9" ht="27.6" hidden="1" customHeight="1" outlineLevel="1" x14ac:dyDescent="0.3">
      <c r="B40" s="20"/>
      <c r="C40" s="419" t="str">
        <f>_xlfn.CONCAT(_xlfn.XLOOKUP("[S06_AccredCertVerifiersAnnexI][24][AccredCertScope]",Submission!$O:$O,Submission!$H:$N,""))</f>
        <v xml:space="preserve">9 - Production of adipic acid (CO2 and N2O emissions) </v>
      </c>
      <c r="D40" s="420"/>
      <c r="E40" s="420"/>
      <c r="F40" s="420"/>
      <c r="G40" s="421"/>
      <c r="H40" s="132" t="str">
        <f>_xlfn.CONCAT(_xlfn.XLOOKUP("[S06_AccredCertVerifiersAnnexI][24][NumberAccredited]",Submission!$O:$O,Submission!$H:$N,""))</f>
        <v>3</v>
      </c>
      <c r="I40" s="132" t="str">
        <f>_xlfn.CONCAT(_xlfn.XLOOKUP("[S06_AccredCertVerifiersAnnexI][24][NumberCertified]",Submission!$O:$O,Submission!$H:$N,""))</f>
        <v>0</v>
      </c>
    </row>
    <row r="41" spans="2:9" ht="27.6" hidden="1" customHeight="1" outlineLevel="1" x14ac:dyDescent="0.3">
      <c r="B41" s="20"/>
      <c r="C41" s="419" t="str">
        <f>_xlfn.CONCAT(_xlfn.XLOOKUP("[S06_AccredCertVerifiersAnnexI][25][AccredCertScope]",Submission!$O:$O,Submission!$H:$N,""))</f>
        <v>9 - Production of glyoxal and glyoxylic acid (CO2 and N2O emissions)</v>
      </c>
      <c r="D41" s="420"/>
      <c r="E41" s="420"/>
      <c r="F41" s="420"/>
      <c r="G41" s="421"/>
      <c r="H41" s="132" t="str">
        <f>_xlfn.CONCAT(_xlfn.XLOOKUP("[S06_AccredCertVerifiersAnnexI][25][NumberAccredited]",Submission!$O:$O,Submission!$H:$N,""))</f>
        <v>3</v>
      </c>
      <c r="I41" s="132" t="str">
        <f>_xlfn.CONCAT(_xlfn.XLOOKUP("[S06_AccredCertVerifiersAnnexI][25][NumberCertified]",Submission!$O:$O,Submission!$H:$N,""))</f>
        <v>0</v>
      </c>
    </row>
    <row r="42" spans="2:9" ht="27.6" hidden="1" customHeight="1" outlineLevel="1" x14ac:dyDescent="0.3">
      <c r="B42" s="20"/>
      <c r="C42" s="419" t="str">
        <f>_xlfn.CONCAT(_xlfn.XLOOKUP("[S06_AccredCertVerifiersAnnexI][26][AccredCertScope]",Submission!$O:$O,Submission!$H:$N,""))</f>
        <v>12 - Aviation activities (emissions and tonne-kilometre data)</v>
      </c>
      <c r="D42" s="420"/>
      <c r="E42" s="420"/>
      <c r="F42" s="420"/>
      <c r="G42" s="421"/>
      <c r="H42" s="132" t="str">
        <f>_xlfn.CONCAT(_xlfn.XLOOKUP("[S06_AccredCertVerifiersAnnexI][26][NumberAccredited]",Submission!$O:$O,Submission!$H:$N,""))</f>
        <v>1</v>
      </c>
      <c r="I42" s="132" t="str">
        <f>_xlfn.CONCAT(_xlfn.XLOOKUP("[S06_AccredCertVerifiersAnnexI][26][NumberCertified]",Submission!$O:$O,Submission!$H:$N,""))</f>
        <v>0</v>
      </c>
    </row>
    <row r="43" spans="2:9" ht="27.6" hidden="1" customHeight="1" outlineLevel="1" x14ac:dyDescent="0.3">
      <c r="B43" s="20"/>
      <c r="C43" s="419" t="str">
        <f>_xlfn.CONCAT(_xlfn.XLOOKUP("[S06_AccredCertVerifiersAnnexI][27][AccredCertScope]",Submission!$O:$O,Submission!$H:$N,""))</f>
        <v>98 - Other activities pursuant to Article 10a of Directive 2003/87/EC</v>
      </c>
      <c r="D43" s="420"/>
      <c r="E43" s="420"/>
      <c r="F43" s="420"/>
      <c r="G43" s="421"/>
      <c r="H43" s="132" t="str">
        <f>_xlfn.CONCAT(_xlfn.XLOOKUP("[S06_AccredCertVerifiersAnnexI][27][NumberAccredited]",Submission!$O:$O,Submission!$H:$N,""))</f>
        <v>5</v>
      </c>
      <c r="I43" s="132" t="str">
        <f>_xlfn.CONCAT(_xlfn.XLOOKUP("[S06_AccredCertVerifiersAnnexI][27][NumberCertified]",Submission!$O:$O,Submission!$H:$N,""))</f>
        <v>0</v>
      </c>
    </row>
    <row r="44" spans="2:9" ht="27.6" hidden="1" customHeight="1" outlineLevel="1" x14ac:dyDescent="0.3">
      <c r="B44" s="20"/>
      <c r="C44" s="419" t="str">
        <f>_xlfn.CONCAT(_xlfn.XLOOKUP("[S06_AccredCertVerifiersAnnexI][28][AccredCertScope]",Submission!$O:$O,Submission!$H:$N,""))</f>
        <v/>
      </c>
      <c r="D44" s="420"/>
      <c r="E44" s="420"/>
      <c r="F44" s="420"/>
      <c r="G44" s="421"/>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9" t="str">
        <f>_xlfn.CONCAT(_xlfn.XLOOKUP("[S06_AccredCertVerifiersAnnexI][29][AccredCertScope]",Submission!$O:$O,Submission!$H:$N,""))</f>
        <v/>
      </c>
      <c r="D45" s="420"/>
      <c r="E45" s="420"/>
      <c r="F45" s="420"/>
      <c r="G45" s="421"/>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9" t="str">
        <f>_xlfn.CONCAT(_xlfn.XLOOKUP("[S06_AccredCertVerifiersAnnexI][30][AccredCertScope]",Submission!$O:$O,Submission!$H:$N,""))</f>
        <v/>
      </c>
      <c r="D46" s="420"/>
      <c r="E46" s="420"/>
      <c r="F46" s="420"/>
      <c r="G46" s="421"/>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9" t="str">
        <f>_xlfn.CONCAT(_xlfn.XLOOKUP("[S06_AccredCertVerifiersAnnexI][31][AccredCertScope]",Submission!$O:$O,Submission!$H:$N,""))</f>
        <v/>
      </c>
      <c r="D47" s="420"/>
      <c r="E47" s="420"/>
      <c r="F47" s="420"/>
      <c r="G47" s="421"/>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9" t="str">
        <f>_xlfn.CONCAT(_xlfn.XLOOKUP("[S06_AccredCertVerifiersAnnexI][32][AccredCertScope]",Submission!$O:$O,Submission!$H:$N,""))</f>
        <v/>
      </c>
      <c r="D48" s="420"/>
      <c r="E48" s="420"/>
      <c r="F48" s="420"/>
      <c r="G48" s="421"/>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9" t="str">
        <f>_xlfn.CONCAT(_xlfn.XLOOKUP("[S06_AccredCertVerifiersAnnexI][33][AccredCertScope]",Submission!$O:$O,Submission!$H:$N,""))</f>
        <v/>
      </c>
      <c r="D49" s="420"/>
      <c r="E49" s="420"/>
      <c r="F49" s="420"/>
      <c r="G49" s="421"/>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9" t="str">
        <f>_xlfn.CONCAT(_xlfn.XLOOKUP("[S06_AccredCertVerifiersAnnexI][34][AccredCertScope]",Submission!$O:$O,Submission!$H:$N,""))</f>
        <v/>
      </c>
      <c r="D50" s="420"/>
      <c r="E50" s="420"/>
      <c r="F50" s="420"/>
      <c r="G50" s="421"/>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07" t="s">
        <v>1001</v>
      </c>
      <c r="C53" s="308"/>
      <c r="D53" s="308"/>
      <c r="E53" s="308"/>
      <c r="F53" s="308"/>
      <c r="G53" s="308"/>
      <c r="H53" s="308"/>
      <c r="I53" s="308"/>
    </row>
    <row r="54" spans="1:9" ht="15.9" customHeight="1" x14ac:dyDescent="0.3">
      <c r="A54" s="13"/>
      <c r="C54" s="314" t="s">
        <v>1002</v>
      </c>
      <c r="D54" s="333"/>
      <c r="E54" s="333"/>
      <c r="F54" s="333"/>
      <c r="G54" s="333"/>
      <c r="H54" s="333"/>
      <c r="I54" s="334"/>
    </row>
    <row r="55" spans="1:9" ht="43.95" customHeight="1" x14ac:dyDescent="0.3">
      <c r="A55" s="13"/>
      <c r="C55" s="428" t="s">
        <v>1003</v>
      </c>
      <c r="D55" s="429"/>
      <c r="E55" s="429"/>
      <c r="F55" s="430"/>
      <c r="G55" s="314" t="s">
        <v>1004</v>
      </c>
      <c r="H55" s="334"/>
      <c r="I55" s="42" t="s">
        <v>1005</v>
      </c>
    </row>
    <row r="56" spans="1:9" ht="24" customHeight="1" x14ac:dyDescent="0.3">
      <c r="A56" s="13"/>
      <c r="C56" s="431"/>
      <c r="D56" s="432"/>
      <c r="E56" s="432"/>
      <c r="F56" s="433"/>
      <c r="G56" s="258" t="str">
        <f>_xlfn.CONCAT(_xlfn.XLOOKUP("[S06_ApplicationInformationExchangeRequirements1][1][FromOwnMS]",Submission!$O:$O,Submission!$H:$N,""))</f>
        <v>Yes</v>
      </c>
      <c r="H56" s="260"/>
      <c r="I56" s="47" t="str">
        <f>_xlfn.CONCAT(_xlfn.XLOOKUP("[S06_ApplicationInformationExchangeRequirements1][1][FromOtherMS]",Submission!$O:$O,Submission!$H:$N,""))</f>
        <v>Yes</v>
      </c>
    </row>
    <row r="57" spans="1:9" ht="43.95" customHeight="1" x14ac:dyDescent="0.3">
      <c r="A57" s="13"/>
      <c r="C57" s="428" t="s">
        <v>1006</v>
      </c>
      <c r="D57" s="429"/>
      <c r="E57" s="429"/>
      <c r="F57" s="430"/>
      <c r="G57" s="314" t="s">
        <v>1004</v>
      </c>
      <c r="H57" s="334"/>
      <c r="I57" s="42" t="s">
        <v>1005</v>
      </c>
    </row>
    <row r="58" spans="1:9" ht="24" customHeight="1" x14ac:dyDescent="0.3">
      <c r="A58" s="13"/>
      <c r="C58" s="431"/>
      <c r="D58" s="432"/>
      <c r="E58" s="432"/>
      <c r="F58" s="433"/>
      <c r="G58" s="258" t="str">
        <f>_xlfn.CONCAT(_xlfn.XLOOKUP("[S06_ApplicationInformationExchangeRequirements1][2][FromOwnMS]",Submission!$O:$O,Submission!$H:$N,""))</f>
        <v>Yes</v>
      </c>
      <c r="H58" s="260"/>
      <c r="I58" s="47" t="str">
        <f>_xlfn.CONCAT(_xlfn.XLOOKUP("[S06_ApplicationInformationExchangeRequirements1][2][FromOtherMS]",Submission!$O:$O,Submission!$H:$N,""))</f>
        <v>Yes</v>
      </c>
    </row>
    <row r="59" spans="1:9" ht="43.95" customHeight="1" x14ac:dyDescent="0.3">
      <c r="A59" s="13"/>
      <c r="C59" s="428" t="s">
        <v>1007</v>
      </c>
      <c r="D59" s="429"/>
      <c r="E59" s="429"/>
      <c r="F59" s="430"/>
      <c r="G59" s="314" t="s">
        <v>1008</v>
      </c>
      <c r="H59" s="334"/>
      <c r="I59" s="42" t="s">
        <v>1009</v>
      </c>
    </row>
    <row r="60" spans="1:9" ht="24" customHeight="1" x14ac:dyDescent="0.3">
      <c r="A60" s="13"/>
      <c r="C60" s="431"/>
      <c r="D60" s="432"/>
      <c r="E60" s="432"/>
      <c r="F60" s="433"/>
      <c r="G60" s="258" t="str">
        <f>_xlfn.CONCAT(_xlfn.XLOOKUP("[S06_ApplicationInformationExchangeRequirements1][3][FromOwnMS]",Submission!$O:$O,Submission!$H:$N,""))</f>
        <v>Yes</v>
      </c>
      <c r="H60" s="260"/>
      <c r="I60" s="47" t="str">
        <f>_xlfn.CONCAT(_xlfn.XLOOKUP("[S06_ApplicationInformationExchangeRequirements1][3][FromOtherMS]",Submission!$O:$O,Submission!$H:$N,""))</f>
        <v>Yes</v>
      </c>
    </row>
    <row r="61" spans="1:9" ht="26.4" customHeight="1" x14ac:dyDescent="0.3">
      <c r="A61" s="13"/>
      <c r="C61" s="428" t="s">
        <v>1010</v>
      </c>
      <c r="D61" s="429"/>
      <c r="E61" s="429"/>
      <c r="F61" s="430"/>
      <c r="G61" s="42" t="s">
        <v>1011</v>
      </c>
      <c r="H61" s="42" t="s">
        <v>1012</v>
      </c>
      <c r="I61" s="42" t="s">
        <v>1013</v>
      </c>
    </row>
    <row r="62" spans="1:9" ht="24" customHeight="1" x14ac:dyDescent="0.3">
      <c r="A62" s="13"/>
      <c r="C62" s="431"/>
      <c r="D62" s="432"/>
      <c r="E62" s="432"/>
      <c r="F62" s="433"/>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28" t="s">
        <v>1014</v>
      </c>
      <c r="D63" s="429"/>
      <c r="E63" s="429"/>
      <c r="F63" s="430"/>
      <c r="G63" s="42" t="s">
        <v>1011</v>
      </c>
      <c r="H63" s="42" t="s">
        <v>1012</v>
      </c>
      <c r="I63" s="42" t="s">
        <v>1013</v>
      </c>
    </row>
    <row r="64" spans="1:9" ht="24" customHeight="1" x14ac:dyDescent="0.3">
      <c r="A64" s="13"/>
      <c r="C64" s="431"/>
      <c r="D64" s="432"/>
      <c r="E64" s="432"/>
      <c r="F64" s="433"/>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9" t="s">
        <v>1015</v>
      </c>
      <c r="D65" s="272"/>
      <c r="E65" s="272"/>
      <c r="F65" s="273"/>
      <c r="G65" s="351" t="str">
        <f>_xlfn.CONCAT(_xlfn.XLOOKUP("[S06_ApplicationInformationExchangeRequirements3][0][TimesSurveillanceRequested]",Submission!$O:$O,Submission!$H:$N,""))</f>
        <v>0</v>
      </c>
      <c r="H65" s="363"/>
      <c r="I65" s="361"/>
    </row>
    <row r="66" spans="1:9" ht="43.95" customHeight="1" x14ac:dyDescent="0.3">
      <c r="A66" s="13"/>
      <c r="C66" s="428" t="s">
        <v>1016</v>
      </c>
      <c r="D66" s="429"/>
      <c r="E66" s="429"/>
      <c r="F66" s="430"/>
      <c r="G66" s="42" t="s">
        <v>1017</v>
      </c>
      <c r="H66" s="42" t="s">
        <v>1018</v>
      </c>
      <c r="I66" s="42" t="s">
        <v>1019</v>
      </c>
    </row>
    <row r="67" spans="1:9" ht="24" customHeight="1" x14ac:dyDescent="0.3">
      <c r="A67" s="13"/>
      <c r="C67" s="431"/>
      <c r="D67" s="432"/>
      <c r="E67" s="432"/>
      <c r="F67" s="433"/>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28" t="s">
        <v>1020</v>
      </c>
      <c r="D68" s="429"/>
      <c r="E68" s="429"/>
      <c r="F68" s="430"/>
      <c r="G68" s="42" t="s">
        <v>1017</v>
      </c>
      <c r="H68" s="42" t="s">
        <v>1018</v>
      </c>
      <c r="I68" s="42" t="s">
        <v>1019</v>
      </c>
    </row>
    <row r="69" spans="1:9" ht="24" customHeight="1" x14ac:dyDescent="0.3">
      <c r="A69" s="13"/>
      <c r="C69" s="431"/>
      <c r="D69" s="432"/>
      <c r="E69" s="432"/>
      <c r="F69" s="433"/>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28" t="s">
        <v>1021</v>
      </c>
      <c r="D70" s="429"/>
      <c r="E70" s="429"/>
      <c r="F70" s="430"/>
      <c r="G70" s="42" t="s">
        <v>1022</v>
      </c>
      <c r="H70" s="42" t="s">
        <v>1018</v>
      </c>
      <c r="I70" s="42" t="s">
        <v>1019</v>
      </c>
    </row>
    <row r="71" spans="1:9" ht="24" customHeight="1" x14ac:dyDescent="0.3">
      <c r="A71" s="13"/>
      <c r="C71" s="431"/>
      <c r="D71" s="432"/>
      <c r="E71" s="432"/>
      <c r="F71" s="433"/>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397" t="s">
        <v>1023</v>
      </c>
      <c r="D72" s="397"/>
      <c r="E72" s="397"/>
      <c r="F72" s="397"/>
      <c r="G72" s="397"/>
      <c r="H72" s="397"/>
      <c r="I72" s="397"/>
    </row>
    <row r="73" spans="1:9" ht="15.9" customHeight="1" x14ac:dyDescent="0.3">
      <c r="A73" s="13"/>
      <c r="C73" s="279" t="s">
        <v>1024</v>
      </c>
      <c r="D73" s="279"/>
      <c r="E73" s="279"/>
      <c r="F73" s="279"/>
      <c r="G73" s="279"/>
      <c r="H73" s="279"/>
      <c r="I73" s="279"/>
    </row>
    <row r="74" spans="1:9" ht="15.9" customHeight="1" x14ac:dyDescent="0.3">
      <c r="A74" s="13"/>
      <c r="C74" s="24"/>
      <c r="D74" s="24"/>
      <c r="E74" s="24"/>
      <c r="F74" s="24"/>
      <c r="G74" s="118"/>
      <c r="H74" s="118"/>
      <c r="I74" s="24"/>
    </row>
    <row r="75" spans="1:9" ht="18.899999999999999" customHeight="1" x14ac:dyDescent="0.35">
      <c r="A75" s="85" t="s">
        <v>1025</v>
      </c>
      <c r="B75" s="310" t="s">
        <v>74</v>
      </c>
      <c r="C75" s="310"/>
      <c r="D75" s="310"/>
      <c r="E75" s="310"/>
      <c r="F75" s="310"/>
      <c r="G75" s="310"/>
      <c r="H75" s="310"/>
      <c r="I75" s="311"/>
    </row>
    <row r="76" spans="1:9" ht="36.6" customHeight="1" x14ac:dyDescent="0.3">
      <c r="A76" s="12" t="s">
        <v>365</v>
      </c>
      <c r="B76" s="312" t="s">
        <v>1026</v>
      </c>
      <c r="C76" s="313"/>
      <c r="D76" s="313"/>
      <c r="E76" s="313"/>
      <c r="F76" s="313"/>
      <c r="G76" s="313"/>
      <c r="H76" s="313"/>
      <c r="I76" s="313"/>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174</v>
      </c>
      <c r="D78" s="105" t="str">
        <f>_xlfn.CONCAT(_xlfn.XLOOKUP("[S06_InstallationsConservativeEstimates][1][InstallationAnnualEmissionstCO2e]",Submission!$O:$O,Submission!$H:$N,""))</f>
        <v>176</v>
      </c>
      <c r="E78" s="157" t="str">
        <f>_xlfn.CONCAT(_xlfn.XLOOKUP("[S06_InstallationsConservativeEstimates][1][ReasonConservativeEstimate]",Submission!$O:$O,Submission!$H:$N,""))</f>
        <v>No emission report submitted by the 31st of March</v>
      </c>
      <c r="F78" s="189" t="str">
        <f>_xlfn.CONCAT(_xlfn.XLOOKUP("[S06_InstallationsConservativeEstimates][1][InstallationConservativeShare]",Submission!$O:$O,Submission!$H:$N,""))</f>
        <v>1</v>
      </c>
      <c r="G78" s="72" t="str">
        <f>_xlfn.CONCAT(_xlfn.XLOOKUP("[S06_InstallationsConservativeEstimates][1][ConservativeMethod]",Submission!$O:$O,Submission!$H:$N,""))</f>
        <v>Calculation based on the data from previous years</v>
      </c>
      <c r="H78" s="72" t="str">
        <f>_xlfn.CONCAT(_xlfn.XLOOKUP("[S06_InstallationsConservativeEstimates][1][FurtherAction]",Submission!$O:$O,Submission!$H:$N,""))</f>
        <v>Reminder or formal warnings on sanctions sent to operator</v>
      </c>
      <c r="I78" s="72" t="str">
        <f>_xlfn.CONCAT(_xlfn.XLOOKUP("[S06_InstallationsConservativeEstimates][1][OtherAction]",Submission!$O:$O,Submission!$H:$N,""))</f>
        <v>The installation has been previously excluded from the EU ETS due to the decrease of the total thermal input in the end of 2020, but the emission permit validity encompassed a part of the year 2021. After the reminder and the conservative estimation, the operator surrendered all required allowances.</v>
      </c>
    </row>
    <row r="79" spans="1:9" ht="60.6" customHeight="1" x14ac:dyDescent="0.3">
      <c r="A79" s="13"/>
      <c r="C79" s="72" t="str">
        <f>_xlfn.CONCAT(_xlfn.XLOOKUP("[S06_InstallationsConservativeEstimates][2][InstallationID]",Submission!$O:$O,Submission!$H:$N,""))</f>
        <v>414</v>
      </c>
      <c r="D79" s="105" t="str">
        <f>_xlfn.CONCAT(_xlfn.XLOOKUP("[S06_InstallationsConservativeEstimates][2][InstallationAnnualEmissionstCO2e]",Submission!$O:$O,Submission!$H:$N,""))</f>
        <v>0</v>
      </c>
      <c r="E79" s="157" t="str">
        <f>_xlfn.CONCAT(_xlfn.XLOOKUP("[S06_InstallationsConservativeEstimates][2][ReasonConservativeEstimate]",Submission!$O:$O,Submission!$H:$N,""))</f>
        <v>No emission report submitted by the 31st of March</v>
      </c>
      <c r="F79" s="189" t="str">
        <f>_xlfn.CONCAT(_xlfn.XLOOKUP("[S06_InstallationsConservativeEstimates][2][InstallationConservativeShare]",Submission!$O:$O,Submission!$H:$N,""))</f>
        <v>1</v>
      </c>
      <c r="G79" s="72" t="str">
        <f>_xlfn.CONCAT(_xlfn.XLOOKUP("[S06_InstallationsConservativeEstimates][2][ConservativeMethod]",Submission!$O:$O,Submission!$H:$N,""))</f>
        <v>No active emission sources = 0 t emissions.</v>
      </c>
      <c r="H79" s="72" t="str">
        <f>_xlfn.CONCAT(_xlfn.XLOOKUP("[S06_InstallationsConservativeEstimates][2][FurtherAction]",Submission!$O:$O,Submission!$H:$N,""))</f>
        <v>Other, please specify in the column on the right</v>
      </c>
      <c r="I79" s="72" t="str">
        <f>_xlfn.CONCAT(_xlfn.XLOOKUP("[S06_InstallationsConservativeEstimates][2][OtherAction]",Submission!$O:$O,Submission!$H:$N,""))</f>
        <v>The installation ceased operation already in 2020, but the emission permit validity encompassed a part of the year 2021.</v>
      </c>
    </row>
    <row r="80" spans="1:9" ht="60.6" customHeight="1" x14ac:dyDescent="0.3">
      <c r="A80" s="13"/>
      <c r="C80" s="72" t="str">
        <f>_xlfn.CONCAT(_xlfn.XLOOKUP("[S06_InstallationsConservativeEstimates][3][InstallationID]",Submission!$O:$O,Submission!$H:$N,""))</f>
        <v>126</v>
      </c>
      <c r="D80" s="105" t="str">
        <f>_xlfn.CONCAT(_xlfn.XLOOKUP("[S06_InstallationsConservativeEstimates][3][InstallationAnnualEmissionstCO2e]",Submission!$O:$O,Submission!$H:$N,""))</f>
        <v>0</v>
      </c>
      <c r="E80" s="157" t="str">
        <f>_xlfn.CONCAT(_xlfn.XLOOKUP("[S06_InstallationsConservativeEstimates][3][ReasonConservativeEstimate]",Submission!$O:$O,Submission!$H:$N,""))</f>
        <v>No emission report submitted by the 31st of March</v>
      </c>
      <c r="F80" s="189" t="str">
        <f>_xlfn.CONCAT(_xlfn.XLOOKUP("[S06_InstallationsConservativeEstimates][3][InstallationConservativeShare]",Submission!$O:$O,Submission!$H:$N,""))</f>
        <v>1</v>
      </c>
      <c r="G80" s="72" t="str">
        <f>_xlfn.CONCAT(_xlfn.XLOOKUP("[S06_InstallationsConservativeEstimates][3][ConservativeMethod]",Submission!$O:$O,Submission!$H:$N,""))</f>
        <v>Merger of installations – all emissions encompassed in another emission report. No remaining active emission sources = 0 t emissions.</v>
      </c>
      <c r="H80" s="72" t="str">
        <f>_xlfn.CONCAT(_xlfn.XLOOKUP("[S06_InstallationsConservativeEstimates][3][FurtherAction]",Submission!$O:$O,Submission!$H:$N,""))</f>
        <v>Other, please specify in the column on the right</v>
      </c>
      <c r="I80" s="72" t="str">
        <f>_xlfn.CONCAT(_xlfn.XLOOKUP("[S06_InstallationsConservativeEstimates][3][OtherAction]",Submission!$O:$O,Submission!$H:$N,""))</f>
        <v>The installation mergered with the installation 127, but the emission permit for installation 126 was valid for a part of 2021. Emissions reported in the report for installation 127.</v>
      </c>
    </row>
    <row r="81" spans="1:9" ht="60.6" customHeight="1" x14ac:dyDescent="0.3">
      <c r="A81" s="13"/>
      <c r="C81" s="72" t="str">
        <f>_xlfn.CONCAT(_xlfn.XLOOKUP("[S06_InstallationsConservativeEstimates][4][InstallationID]",Submission!$O:$O,Submission!$H:$N,""))</f>
        <v>424</v>
      </c>
      <c r="D81" s="105" t="str">
        <f>_xlfn.CONCAT(_xlfn.XLOOKUP("[S06_InstallationsConservativeEstimates][4][InstallationAnnualEmissionstCO2e]",Submission!$O:$O,Submission!$H:$N,""))</f>
        <v>0</v>
      </c>
      <c r="E81" s="157" t="str">
        <f>_xlfn.CONCAT(_xlfn.XLOOKUP("[S06_InstallationsConservativeEstimates][4][ReasonConservativeEstimate]",Submission!$O:$O,Submission!$H:$N,""))</f>
        <v>No emission report submitted by the 31st of March</v>
      </c>
      <c r="F81" s="189" t="str">
        <f>_xlfn.CONCAT(_xlfn.XLOOKUP("[S06_InstallationsConservativeEstimates][4][InstallationConservativeShare]",Submission!$O:$O,Submission!$H:$N,""))</f>
        <v>1</v>
      </c>
      <c r="G81" s="72" t="str">
        <f>_xlfn.CONCAT(_xlfn.XLOOKUP("[S06_InstallationsConservativeEstimates][4][ConservativeMethod]",Submission!$O:$O,Submission!$H:$N,""))</f>
        <v>Merger of installations – all emissions encompassed in another emission report. No remaining active emission sources = 0 t emissions.</v>
      </c>
      <c r="H81" s="72" t="str">
        <f>_xlfn.CONCAT(_xlfn.XLOOKUP("[S06_InstallationsConservativeEstimates][4][FurtherAction]",Submission!$O:$O,Submission!$H:$N,""))</f>
        <v>Other, please specify in the column on the right</v>
      </c>
      <c r="I81" s="72" t="str">
        <f>_xlfn.CONCAT(_xlfn.XLOOKUP("[S06_InstallationsConservativeEstimates][4][OtherAction]",Submission!$O:$O,Submission!$H:$N,""))</f>
        <v>The installation mergered with the installation 121, but the emission permit for installation 424 was valid for a part of 2021. Emissions reported in the report for installation 121.</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9"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9"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9"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9"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79" t="s">
        <v>1033</v>
      </c>
      <c r="D119" s="280"/>
      <c r="E119" s="280"/>
      <c r="F119" s="280"/>
      <c r="G119" s="280"/>
      <c r="H119" s="280"/>
      <c r="I119" s="280"/>
    </row>
    <row r="120" spans="1:9" s="11" customFormat="1" ht="41.25" customHeight="1" x14ac:dyDescent="0.3">
      <c r="C120" s="279" t="s">
        <v>1034</v>
      </c>
      <c r="D120" s="280"/>
      <c r="E120" s="280"/>
      <c r="F120" s="280"/>
      <c r="G120" s="280"/>
      <c r="H120" s="280"/>
      <c r="I120" s="280"/>
    </row>
    <row r="121" spans="1:9" s="11" customFormat="1" ht="28.95" customHeight="1" x14ac:dyDescent="0.3">
      <c r="C121" s="279" t="s">
        <v>1035</v>
      </c>
      <c r="D121" s="280"/>
      <c r="E121" s="280"/>
      <c r="F121" s="280"/>
      <c r="G121" s="280"/>
      <c r="H121" s="280"/>
      <c r="I121" s="280"/>
    </row>
    <row r="122" spans="1:9" s="11" customFormat="1" ht="14.4" x14ac:dyDescent="0.3"/>
    <row r="123" spans="1:9" ht="18.600000000000001" customHeight="1" x14ac:dyDescent="0.3">
      <c r="B123" s="275" t="s">
        <v>1036</v>
      </c>
      <c r="C123" s="275"/>
      <c r="D123" s="275"/>
      <c r="E123" s="275"/>
      <c r="F123" s="275"/>
      <c r="G123" s="275"/>
      <c r="H123" s="275"/>
      <c r="I123" s="275"/>
    </row>
    <row r="124" spans="1:9" ht="15.9" customHeight="1" x14ac:dyDescent="0.3">
      <c r="C124" s="317" t="s">
        <v>1037</v>
      </c>
      <c r="D124" s="370"/>
      <c r="E124" s="370"/>
      <c r="F124" s="370"/>
      <c r="G124" s="318"/>
      <c r="H124" s="317" t="s">
        <v>76</v>
      </c>
      <c r="I124" s="329"/>
    </row>
    <row r="125" spans="1:9" ht="18" customHeight="1" x14ac:dyDescent="0.3">
      <c r="C125" s="249" t="s">
        <v>1038</v>
      </c>
      <c r="D125" s="272"/>
      <c r="E125" s="272"/>
      <c r="F125" s="272"/>
      <c r="G125" s="273"/>
      <c r="H125" s="351" t="str">
        <f>_xlfn.CONCAT(_xlfn.XLOOKUP("[S06_NegativeOpinionInstallations][1][CountNegativeOpinions]",Submission!$O:$O,Submission!$H:$N,""))</f>
        <v>4</v>
      </c>
      <c r="I125" s="361"/>
    </row>
    <row r="126" spans="1:9" ht="18" customHeight="1" x14ac:dyDescent="0.3">
      <c r="C126" s="249" t="s">
        <v>1039</v>
      </c>
      <c r="D126" s="272"/>
      <c r="E126" s="272"/>
      <c r="F126" s="272"/>
      <c r="G126" s="273"/>
      <c r="H126" s="351" t="str">
        <f>_xlfn.CONCAT(_xlfn.XLOOKUP("[S06_NegativeOpinionInstallations][2][CountNegativeOpinions]",Submission!$O:$O,Submission!$H:$N,""))</f>
        <v>0</v>
      </c>
      <c r="I126" s="361"/>
    </row>
    <row r="127" spans="1:9" ht="18" customHeight="1" x14ac:dyDescent="0.3">
      <c r="C127" s="249" t="s">
        <v>1040</v>
      </c>
      <c r="D127" s="272"/>
      <c r="E127" s="272"/>
      <c r="F127" s="272"/>
      <c r="G127" s="273"/>
      <c r="H127" s="351" t="str">
        <f>_xlfn.CONCAT(_xlfn.XLOOKUP("[S06_NegativeOpinionInstallations][3][CountNegativeOpinions]",Submission!$O:$O,Submission!$H:$N,""))</f>
        <v>0</v>
      </c>
      <c r="I127" s="361"/>
    </row>
    <row r="128" spans="1:9" ht="18" customHeight="1" x14ac:dyDescent="0.3">
      <c r="C128" s="249" t="s">
        <v>1041</v>
      </c>
      <c r="D128" s="272"/>
      <c r="E128" s="272"/>
      <c r="F128" s="272"/>
      <c r="G128" s="273"/>
      <c r="H128" s="351" t="str">
        <f>_xlfn.CONCAT(_xlfn.XLOOKUP("[S06_NegativeOpinionInstallations][4][CountNegativeOpinions]",Submission!$O:$O,Submission!$H:$N,""))</f>
        <v>0</v>
      </c>
      <c r="I128" s="361"/>
    </row>
    <row r="129" spans="1:9" ht="19.2" customHeight="1" x14ac:dyDescent="0.3">
      <c r="D129" s="11"/>
      <c r="E129" s="11"/>
      <c r="F129" s="11"/>
      <c r="G129" s="11"/>
    </row>
    <row r="130" spans="1:9" ht="32.1" customHeight="1" x14ac:dyDescent="0.3">
      <c r="A130" s="12" t="s">
        <v>376</v>
      </c>
      <c r="B130" s="338" t="s">
        <v>1042</v>
      </c>
      <c r="C130" s="308"/>
      <c r="D130" s="308"/>
      <c r="E130" s="308"/>
      <c r="F130" s="308"/>
      <c r="G130" s="308"/>
      <c r="H130" s="345"/>
      <c r="I130" s="41" t="str">
        <f>_xlfn.CONCAT(_xlfn.XLOOKUP("[InstallationsVerificationReportIssues][0][InstallationsVerificationReportIssues]",Submission!$O:$O,Submission!$H:$N,""))</f>
        <v>Yes</v>
      </c>
    </row>
    <row r="131" spans="1:9" ht="19.95" customHeight="1" x14ac:dyDescent="0.3">
      <c r="A131" s="12"/>
      <c r="B131" s="275" t="s">
        <v>1043</v>
      </c>
      <c r="C131" s="276"/>
      <c r="D131" s="276"/>
      <c r="E131" s="276"/>
      <c r="F131" s="276"/>
      <c r="G131" s="276"/>
      <c r="H131" s="276"/>
      <c r="I131" s="276"/>
    </row>
    <row r="132" spans="1:9" ht="70.2" customHeight="1" x14ac:dyDescent="0.3">
      <c r="A132" s="13"/>
      <c r="C132" s="314" t="s">
        <v>879</v>
      </c>
      <c r="D132" s="334"/>
      <c r="E132" s="314" t="s">
        <v>1044</v>
      </c>
      <c r="F132" s="334"/>
      <c r="G132" s="42" t="s">
        <v>1045</v>
      </c>
      <c r="H132" s="45" t="s">
        <v>1046</v>
      </c>
      <c r="I132" s="46" t="s">
        <v>1047</v>
      </c>
    </row>
    <row r="133" spans="1:9" ht="26.4" customHeight="1" x14ac:dyDescent="0.3">
      <c r="A133" s="13"/>
      <c r="C133" s="274" t="str">
        <f>_xlfn.CONCAT(_xlfn.XLOOKUP("[S06_InstallationsVerificationReportsIssueDetail]["&amp;1&amp;"][AnnexIActivity]",Submission!$O:$O,Submission!$H:$N,""))</f>
        <v>20 - Combustion of fuels as specified in Annex I of Directive 2003/87/EC</v>
      </c>
      <c r="D133" s="364"/>
      <c r="E133" s="274" t="str">
        <f>_xlfn.CONCAT(_xlfn.XLOOKUP("[S06_InstallationsVerificationReportsIssueDetail]["&amp;1&amp;"][TypeOfIssue]",Submission!$O:$O,Submission!$H:$N,""))</f>
        <v>Non-material misstatements</v>
      </c>
      <c r="F133" s="364"/>
      <c r="G133" s="105" t="str">
        <f>_xlfn.CONCAT(_xlfn.XLOOKUP("[S06_InstallationsVerificationReportsIssueDetail]["&amp;1&amp;"][NumberOfInstallations]",Submission!$O:$O,Submission!$H:$N,""))</f>
        <v>2</v>
      </c>
      <c r="H133" s="108" t="str">
        <f>_xlfn.CONCAT(_xlfn.XLOOKUP("[S06_InstallationsVerificationReportsIssueDetail]["&amp;1&amp;"][NumberOfIssues]",Submission!$O:$O,Submission!$H:$N,""))</f>
        <v>2</v>
      </c>
      <c r="I133" s="189" t="str">
        <f>_xlfn.CONCAT(_xlfn.XLOOKUP("[S06_InstallationsVerificationReportsIssueDetail]["&amp;1&amp;"][ShareOfReportsConservativeEstimate]",Submission!$O:$O,Submission!$H:$N,""))</f>
        <v>0</v>
      </c>
    </row>
    <row r="134" spans="1:9" ht="26.4" customHeight="1" x14ac:dyDescent="0.3">
      <c r="A134" s="13"/>
      <c r="C134" s="274" t="str">
        <f>_xlfn.CONCAT(_xlfn.XLOOKUP("[S06_InstallationsVerificationReportsIssueDetail]["&amp;1+ROW(B134)-ROW($B$133)&amp;"][AnnexIActivity]",Submission!$O:$O,Submission!$H:$N,""))</f>
        <v>29 - Production of cement clinker in rotary kilns as specified in Annex I of Directive 2003/87/ EC</v>
      </c>
      <c r="D134" s="364"/>
      <c r="E134" s="274" t="str">
        <f>_xlfn.CONCAT(_xlfn.XLOOKUP("[S06_InstallationsVerificationReportsIssueDetail]["&amp;1+ROW(B134)-ROW($B$133)&amp;"][TypeOfIssue]",Submission!$O:$O,Submission!$H:$N,""))</f>
        <v>Non-material misstatements</v>
      </c>
      <c r="F134" s="364"/>
      <c r="G134" s="105" t="str">
        <f>_xlfn.CONCAT(_xlfn.XLOOKUP("[S06_InstallationsVerificationReportsIssueDetail]["&amp;1+ROW(B134)-ROW($B$133)&amp;"][NumberOfInstallations]",Submission!$O:$O,Submission!$H:$N,""))</f>
        <v>2</v>
      </c>
      <c r="H134" s="108" t="str">
        <f>_xlfn.CONCAT(_xlfn.XLOOKUP("[S06_InstallationsVerificationReportsIssueDetail]["&amp;1+ROW(B134)-ROW($B$133)&amp;"][NumberOfIssues]",Submission!$O:$O,Submission!$H:$N,""))</f>
        <v>2</v>
      </c>
      <c r="I134" s="189" t="str">
        <f>_xlfn.CONCAT(_xlfn.XLOOKUP("[S06_InstallationsVerificationReportsIssueDetail]["&amp;1+ROW(B134)-ROW($B$133)&amp;"][ShareOfReportsConservativeEstimate]",Submission!$O:$O,Submission!$H:$N,""))</f>
        <v>0</v>
      </c>
    </row>
    <row r="135" spans="1:9" ht="26.4" customHeight="1" x14ac:dyDescent="0.3">
      <c r="A135" s="13"/>
      <c r="C135" s="274" t="str">
        <f>_xlfn.CONCAT(_xlfn.XLOOKUP("[S06_InstallationsVerificationReportsIssueDetail]["&amp;1+ROW(B135)-ROW($B$133)&amp;"][AnnexIActivity]",Submission!$O:$O,Submission!$H:$N,""))</f>
        <v>32 - Manufacture of ceramic products as specified in Annex I of Directive 2003/87/EC</v>
      </c>
      <c r="D135" s="364"/>
      <c r="E135" s="274" t="str">
        <f>_xlfn.CONCAT(_xlfn.XLOOKUP("[S06_InstallationsVerificationReportsIssueDetail]["&amp;1+ROW(B135)-ROW($B$133)&amp;"][TypeOfIssue]",Submission!$O:$O,Submission!$H:$N,""))</f>
        <v>Non-material misstatements</v>
      </c>
      <c r="F135" s="364"/>
      <c r="G135" s="105" t="str">
        <f>_xlfn.CONCAT(_xlfn.XLOOKUP("[S06_InstallationsVerificationReportsIssueDetail]["&amp;1+ROW(B135)-ROW($B$133)&amp;"][NumberOfInstallations]",Submission!$O:$O,Submission!$H:$N,""))</f>
        <v>9</v>
      </c>
      <c r="H135" s="108" t="str">
        <f>_xlfn.CONCAT(_xlfn.XLOOKUP("[S06_InstallationsVerificationReportsIssueDetail]["&amp;1+ROW(B135)-ROW($B$133)&amp;"][NumberOfIssues]",Submission!$O:$O,Submission!$H:$N,""))</f>
        <v>9</v>
      </c>
      <c r="I135" s="189" t="str">
        <f>_xlfn.CONCAT(_xlfn.XLOOKUP("[S06_InstallationsVerificationReportsIssueDetail]["&amp;1+ROW(B135)-ROW($B$133)&amp;"][ShareOfReportsConservativeEstimate]",Submission!$O:$O,Submission!$H:$N,""))</f>
        <v>0</v>
      </c>
    </row>
    <row r="136" spans="1:9" ht="26.4" customHeight="1" x14ac:dyDescent="0.3">
      <c r="A136" s="13"/>
      <c r="C136" s="274" t="str">
        <f>_xlfn.CONCAT(_xlfn.XLOOKUP("[S06_InstallationsVerificationReportsIssueDetail]["&amp;1+ROW(B136)-ROW($B$133)&amp;"][AnnexIActivity]",Submission!$O:$O,Submission!$H:$N,""))</f>
        <v xml:space="preserve">36 - Production of paper or cardboard as specified in Annex I of Directive 2003/87/EC </v>
      </c>
      <c r="D136" s="364"/>
      <c r="E136" s="274" t="str">
        <f>_xlfn.CONCAT(_xlfn.XLOOKUP("[S06_InstallationsVerificationReportsIssueDetail]["&amp;1+ROW(B136)-ROW($B$133)&amp;"][TypeOfIssue]",Submission!$O:$O,Submission!$H:$N,""))</f>
        <v>Non-material misstatements</v>
      </c>
      <c r="F136" s="364"/>
      <c r="G136" s="105" t="str">
        <f>_xlfn.CONCAT(_xlfn.XLOOKUP("[S06_InstallationsVerificationReportsIssueDetail]["&amp;1+ROW(B136)-ROW($B$133)&amp;"][NumberOfInstallations]",Submission!$O:$O,Submission!$H:$N,""))</f>
        <v>1</v>
      </c>
      <c r="H136" s="108" t="str">
        <f>_xlfn.CONCAT(_xlfn.XLOOKUP("[S06_InstallationsVerificationReportsIssueDetail]["&amp;1+ROW(B136)-ROW($B$133)&amp;"][NumberOfIssues]",Submission!$O:$O,Submission!$H:$N,""))</f>
        <v>1</v>
      </c>
      <c r="I136" s="189" t="str">
        <f>_xlfn.CONCAT(_xlfn.XLOOKUP("[S06_InstallationsVerificationReportsIssueDetail]["&amp;1+ROW(B136)-ROW($B$133)&amp;"][ShareOfReportsConservativeEstimate]",Submission!$O:$O,Submission!$H:$N,""))</f>
        <v>0</v>
      </c>
    </row>
    <row r="137" spans="1:9" ht="26.4" customHeight="1" x14ac:dyDescent="0.3">
      <c r="A137" s="13"/>
      <c r="C137" s="274" t="str">
        <f>_xlfn.CONCAT(_xlfn.XLOOKUP("[S06_InstallationsVerificationReportsIssueDetail]["&amp;1+ROW(B137)-ROW($B$133)&amp;"][AnnexIActivity]",Submission!$O:$O,Submission!$H:$N,""))</f>
        <v>20 - Combustion of fuels as specified in Annex I of Directive 2003/87/EC</v>
      </c>
      <c r="D137" s="364"/>
      <c r="E137" s="274" t="str">
        <f>_xlfn.CONCAT(_xlfn.XLOOKUP("[S06_InstallationsVerificationReportsIssueDetail]["&amp;1+ROW(B137)-ROW($B$133)&amp;"][TypeOfIssue]",Submission!$O:$O,Submission!$H:$N,""))</f>
        <v>Non-conformities not leading to a negative verification opinion statement</v>
      </c>
      <c r="F137" s="364"/>
      <c r="G137" s="105" t="str">
        <f>_xlfn.CONCAT(_xlfn.XLOOKUP("[S06_InstallationsVerificationReportsIssueDetail]["&amp;1+ROW(B137)-ROW($B$133)&amp;"][NumberOfInstallations]",Submission!$O:$O,Submission!$H:$N,""))</f>
        <v>5</v>
      </c>
      <c r="H137" s="108" t="str">
        <f>_xlfn.CONCAT(_xlfn.XLOOKUP("[S06_InstallationsVerificationReportsIssueDetail]["&amp;1+ROW(B137)-ROW($B$133)&amp;"][NumberOfIssues]",Submission!$O:$O,Submission!$H:$N,""))</f>
        <v>5</v>
      </c>
      <c r="I137" s="189" t="str">
        <f>_xlfn.CONCAT(_xlfn.XLOOKUP("[S06_InstallationsVerificationReportsIssueDetail]["&amp;1+ROW(B137)-ROW($B$133)&amp;"][ShareOfReportsConservativeEstimate]",Submission!$O:$O,Submission!$H:$N,""))</f>
        <v>0</v>
      </c>
    </row>
    <row r="138" spans="1:9" ht="26.4" customHeight="1" x14ac:dyDescent="0.3">
      <c r="A138" s="13"/>
      <c r="C138" s="274" t="str">
        <f>_xlfn.CONCAT(_xlfn.XLOOKUP("[S06_InstallationsVerificationReportsIssueDetail]["&amp;1+ROW(B138)-ROW($B$133)&amp;"][AnnexIActivity]",Submission!$O:$O,Submission!$H:$N,""))</f>
        <v>32 - Manufacture of ceramic products as specified in Annex I of Directive 2003/87/EC</v>
      </c>
      <c r="D138" s="364"/>
      <c r="E138" s="274" t="str">
        <f>_xlfn.CONCAT(_xlfn.XLOOKUP("[S06_InstallationsVerificationReportsIssueDetail]["&amp;1+ROW(B138)-ROW($B$133)&amp;"][TypeOfIssue]",Submission!$O:$O,Submission!$H:$N,""))</f>
        <v>Non-conformities not leading to a negative verification opinion statement</v>
      </c>
      <c r="F138" s="364"/>
      <c r="G138" s="105" t="str">
        <f>_xlfn.CONCAT(_xlfn.XLOOKUP("[S06_InstallationsVerificationReportsIssueDetail]["&amp;1+ROW(B138)-ROW($B$133)&amp;"][NumberOfInstallations]",Submission!$O:$O,Submission!$H:$N,""))</f>
        <v>2</v>
      </c>
      <c r="H138" s="108" t="str">
        <f>_xlfn.CONCAT(_xlfn.XLOOKUP("[S06_InstallationsVerificationReportsIssueDetail]["&amp;1+ROW(B138)-ROW($B$133)&amp;"][NumberOfIssues]",Submission!$O:$O,Submission!$H:$N,""))</f>
        <v>2</v>
      </c>
      <c r="I138" s="189" t="str">
        <f>_xlfn.CONCAT(_xlfn.XLOOKUP("[S06_InstallationsVerificationReportsIssueDetail]["&amp;1+ROW(B138)-ROW($B$133)&amp;"][ShareOfReportsConservativeEstimate]",Submission!$O:$O,Submission!$H:$N,""))</f>
        <v>0</v>
      </c>
    </row>
    <row r="139" spans="1:9" ht="26.4" customHeight="1" x14ac:dyDescent="0.3">
      <c r="A139" s="13"/>
      <c r="C139" s="274" t="str">
        <f>_xlfn.CONCAT(_xlfn.XLOOKUP("[S06_InstallationsVerificationReportsIssueDetail]["&amp;1+ROW(B139)-ROW($B$133)&amp;"][AnnexIActivity]",Submission!$O:$O,Submission!$H:$N,""))</f>
        <v>33 - Manufacture of mineral wool insulation material using glass, rock or slag as specified in Annex I of Directive 2003/87/EC</v>
      </c>
      <c r="D139" s="364"/>
      <c r="E139" s="274" t="str">
        <f>_xlfn.CONCAT(_xlfn.XLOOKUP("[S06_InstallationsVerificationReportsIssueDetail]["&amp;1+ROW(B139)-ROW($B$133)&amp;"][TypeOfIssue]",Submission!$O:$O,Submission!$H:$N,""))</f>
        <v>Non-conformities not leading to a negative verification opinion statement</v>
      </c>
      <c r="F139" s="364"/>
      <c r="G139" s="105" t="str">
        <f>_xlfn.CONCAT(_xlfn.XLOOKUP("[S06_InstallationsVerificationReportsIssueDetail]["&amp;1+ROW(B139)-ROW($B$133)&amp;"][NumberOfInstallations]",Submission!$O:$O,Submission!$H:$N,""))</f>
        <v>1</v>
      </c>
      <c r="H139" s="108" t="str">
        <f>_xlfn.CONCAT(_xlfn.XLOOKUP("[S06_InstallationsVerificationReportsIssueDetail]["&amp;1+ROW(B139)-ROW($B$133)&amp;"][NumberOfIssues]",Submission!$O:$O,Submission!$H:$N,""))</f>
        <v>1</v>
      </c>
      <c r="I139" s="189" t="str">
        <f>_xlfn.CONCAT(_xlfn.XLOOKUP("[S06_InstallationsVerificationReportsIssueDetail]["&amp;1+ROW(B139)-ROW($B$133)&amp;"][ShareOfReportsConservativeEstimate]",Submission!$O:$O,Submission!$H:$N,""))</f>
        <v>0</v>
      </c>
    </row>
    <row r="140" spans="1:9" ht="26.4" customHeight="1" x14ac:dyDescent="0.3">
      <c r="A140" s="13"/>
      <c r="C140" s="274" t="str">
        <f>_xlfn.CONCAT(_xlfn.XLOOKUP("[S06_InstallationsVerificationReportsIssueDetail]["&amp;1+ROW(B140)-ROW($B$133)&amp;"][AnnexIActivity]",Submission!$O:$O,Submission!$H:$N,""))</f>
        <v>25 - Production or processing of ferrous metals as specified in Annex I of Directive 2003/87/EC</v>
      </c>
      <c r="D140" s="364"/>
      <c r="E140" s="274" t="str">
        <f>_xlfn.CONCAT(_xlfn.XLOOKUP("[S06_InstallationsVerificationReportsIssueDetail]["&amp;1+ROW(B140)-ROW($B$133)&amp;"][TypeOfIssue]",Submission!$O:$O,Submission!$H:$N,""))</f>
        <v>Non-conformities not leading to a negative verification opinion statement</v>
      </c>
      <c r="F140" s="364"/>
      <c r="G140" s="105" t="str">
        <f>_xlfn.CONCAT(_xlfn.XLOOKUP("[S06_InstallationsVerificationReportsIssueDetail]["&amp;1+ROW(B140)-ROW($B$133)&amp;"][NumberOfInstallations]",Submission!$O:$O,Submission!$H:$N,""))</f>
        <v>1</v>
      </c>
      <c r="H140" s="108" t="str">
        <f>_xlfn.CONCAT(_xlfn.XLOOKUP("[S06_InstallationsVerificationReportsIssueDetail]["&amp;1+ROW(B140)-ROW($B$133)&amp;"][NumberOfIssues]",Submission!$O:$O,Submission!$H:$N,""))</f>
        <v>1</v>
      </c>
      <c r="I140" s="189" t="str">
        <f>_xlfn.CONCAT(_xlfn.XLOOKUP("[S06_InstallationsVerificationReportsIssueDetail]["&amp;1+ROW(B140)-ROW($B$133)&amp;"][ShareOfReportsConservativeEstimate]",Submission!$O:$O,Submission!$H:$N,""))</f>
        <v>0</v>
      </c>
    </row>
    <row r="141" spans="1:9" ht="26.4" customHeight="1" x14ac:dyDescent="0.3">
      <c r="A141" s="13"/>
      <c r="C141" s="274" t="str">
        <f>_xlfn.CONCAT(_xlfn.XLOOKUP("[S06_InstallationsVerificationReportsIssueDetail]["&amp;1+ROW(B141)-ROW($B$133)&amp;"][AnnexIActivity]",Submission!$O:$O,Submission!$H:$N,""))</f>
        <v>31 - Manufacture of glass as specified in Annex I of Directive 2003/87/EC</v>
      </c>
      <c r="D141" s="364"/>
      <c r="E141" s="274" t="str">
        <f>_xlfn.CONCAT(_xlfn.XLOOKUP("[S06_InstallationsVerificationReportsIssueDetail]["&amp;1+ROW(B141)-ROW($B$133)&amp;"][TypeOfIssue]",Submission!$O:$O,Submission!$H:$N,""))</f>
        <v>Non-conformities not leading to a negative verification opinion statement</v>
      </c>
      <c r="F141" s="364"/>
      <c r="G141" s="105" t="str">
        <f>_xlfn.CONCAT(_xlfn.XLOOKUP("[S06_InstallationsVerificationReportsIssueDetail]["&amp;1+ROW(B141)-ROW($B$133)&amp;"][NumberOfInstallations]",Submission!$O:$O,Submission!$H:$N,""))</f>
        <v>1</v>
      </c>
      <c r="H141" s="108" t="str">
        <f>_xlfn.CONCAT(_xlfn.XLOOKUP("[S06_InstallationsVerificationReportsIssueDetail]["&amp;1+ROW(B141)-ROW($B$133)&amp;"][NumberOfIssues]",Submission!$O:$O,Submission!$H:$N,""))</f>
        <v>1</v>
      </c>
      <c r="I141" s="189" t="str">
        <f>_xlfn.CONCAT(_xlfn.XLOOKUP("[S06_InstallationsVerificationReportsIssueDetail]["&amp;1+ROW(B141)-ROW($B$133)&amp;"][ShareOfReportsConservativeEstimate]",Submission!$O:$O,Submission!$H:$N,""))</f>
        <v>0</v>
      </c>
    </row>
    <row r="142" spans="1:9" ht="26.4" customHeight="1" x14ac:dyDescent="0.3">
      <c r="A142" s="13"/>
      <c r="C142" s="274" t="str">
        <f>_xlfn.CONCAT(_xlfn.XLOOKUP("[S06_InstallationsVerificationReportsIssueDetail]["&amp;1+ROW(B142)-ROW($B$133)&amp;"][AnnexIActivity]",Submission!$O:$O,Submission!$H:$N,""))</f>
        <v>24 - Production of pig iron or steel as specified in Annex I of Directive 2003/87/EC</v>
      </c>
      <c r="D142" s="364"/>
      <c r="E142" s="274" t="str">
        <f>_xlfn.CONCAT(_xlfn.XLOOKUP("[S06_InstallationsVerificationReportsIssueDetail]["&amp;1+ROW(B142)-ROW($B$133)&amp;"][TypeOfIssue]",Submission!$O:$O,Submission!$H:$N,""))</f>
        <v>Non-conformities not leading to a negative verification opinion statement</v>
      </c>
      <c r="F142" s="364"/>
      <c r="G142" s="105" t="str">
        <f>_xlfn.CONCAT(_xlfn.XLOOKUP("[S06_InstallationsVerificationReportsIssueDetail]["&amp;1+ROW(B142)-ROW($B$133)&amp;"][NumberOfInstallations]",Submission!$O:$O,Submission!$H:$N,""))</f>
        <v>1</v>
      </c>
      <c r="H142" s="108" t="str">
        <f>_xlfn.CONCAT(_xlfn.XLOOKUP("[S06_InstallationsVerificationReportsIssueDetail]["&amp;1+ROW(B142)-ROW($B$133)&amp;"][NumberOfIssues]",Submission!$O:$O,Submission!$H:$N,""))</f>
        <v>1</v>
      </c>
      <c r="I142" s="189" t="str">
        <f>_xlfn.CONCAT(_xlfn.XLOOKUP("[S06_InstallationsVerificationReportsIssueDetail]["&amp;1+ROW(B142)-ROW($B$133)&amp;"][ShareOfReportsConservativeEstimate]",Submission!$O:$O,Submission!$H:$N,""))</f>
        <v>0</v>
      </c>
    </row>
    <row r="143" spans="1:9" ht="26.4" customHeight="1" x14ac:dyDescent="0.3">
      <c r="A143" s="13"/>
      <c r="C143" s="274" t="str">
        <f>_xlfn.CONCAT(_xlfn.XLOOKUP("[S06_InstallationsVerificationReportsIssueDetail]["&amp;1+ROW(B143)-ROW($B$133)&amp;"][AnnexIActivity]",Submission!$O:$O,Submission!$H:$N,""))</f>
        <v xml:space="preserve">43 - Production of hydrogen (H2) and synthesis gas as specified in Annex I of Directive 2003/87/EC </v>
      </c>
      <c r="D143" s="364"/>
      <c r="E143" s="274" t="str">
        <f>_xlfn.CONCAT(_xlfn.XLOOKUP("[S06_InstallationsVerificationReportsIssueDetail]["&amp;1+ROW(B143)-ROW($B$133)&amp;"][TypeOfIssue]",Submission!$O:$O,Submission!$H:$N,""))</f>
        <v>Non-conformities not leading to a negative verification opinion statement</v>
      </c>
      <c r="F143" s="364"/>
      <c r="G143" s="105" t="str">
        <f>_xlfn.CONCAT(_xlfn.XLOOKUP("[S06_InstallationsVerificationReportsIssueDetail]["&amp;1+ROW(B143)-ROW($B$133)&amp;"][NumberOfInstallations]",Submission!$O:$O,Submission!$H:$N,""))</f>
        <v>1</v>
      </c>
      <c r="H143" s="108" t="str">
        <f>_xlfn.CONCAT(_xlfn.XLOOKUP("[S06_InstallationsVerificationReportsIssueDetail]["&amp;1+ROW(B143)-ROW($B$133)&amp;"][NumberOfIssues]",Submission!$O:$O,Submission!$H:$N,""))</f>
        <v>1</v>
      </c>
      <c r="I143" s="189" t="str">
        <f>_xlfn.CONCAT(_xlfn.XLOOKUP("[S06_InstallationsVerificationReportsIssueDetail]["&amp;1+ROW(B143)-ROW($B$133)&amp;"][ShareOfReportsConservativeEstimate]",Submission!$O:$O,Submission!$H:$N,""))</f>
        <v>0</v>
      </c>
    </row>
    <row r="144" spans="1:9" ht="26.4" customHeight="1" x14ac:dyDescent="0.3">
      <c r="A144" s="13"/>
      <c r="C144" s="274" t="str">
        <f>_xlfn.CONCAT(_xlfn.XLOOKUP("[S06_InstallationsVerificationReportsIssueDetail]["&amp;1+ROW(B144)-ROW($B$133)&amp;"][AnnexIActivity]",Submission!$O:$O,Submission!$H:$N,""))</f>
        <v xml:space="preserve">22 - Production of coke </v>
      </c>
      <c r="D144" s="364"/>
      <c r="E144" s="274" t="str">
        <f>_xlfn.CONCAT(_xlfn.XLOOKUP("[S06_InstallationsVerificationReportsIssueDetail]["&amp;1+ROW(B144)-ROW($B$133)&amp;"][TypeOfIssue]",Submission!$O:$O,Submission!$H:$N,""))</f>
        <v>Non-compliance with Implementing Regulation (EU) 2018/2066</v>
      </c>
      <c r="F144" s="364"/>
      <c r="G144" s="105" t="str">
        <f>_xlfn.CONCAT(_xlfn.XLOOKUP("[S06_InstallationsVerificationReportsIssueDetail]["&amp;1+ROW(B144)-ROW($B$133)&amp;"][NumberOfInstallations]",Submission!$O:$O,Submission!$H:$N,""))</f>
        <v>1</v>
      </c>
      <c r="H144" s="108" t="str">
        <f>_xlfn.CONCAT(_xlfn.XLOOKUP("[S06_InstallationsVerificationReportsIssueDetail]["&amp;1+ROW(B144)-ROW($B$133)&amp;"][NumberOfIssues]",Submission!$O:$O,Submission!$H:$N,""))</f>
        <v>1</v>
      </c>
      <c r="I144" s="189" t="str">
        <f>_xlfn.CONCAT(_xlfn.XLOOKUP("[S06_InstallationsVerificationReportsIssueDetail]["&amp;1+ROW(B144)-ROW($B$133)&amp;"][ShareOfReportsConservativeEstimate]",Submission!$O:$O,Submission!$H:$N,""))</f>
        <v>0</v>
      </c>
    </row>
    <row r="145" spans="1:9" ht="26.4" customHeight="1" x14ac:dyDescent="0.3">
      <c r="A145" s="13"/>
      <c r="C145" s="274" t="str">
        <f>_xlfn.CONCAT(_xlfn.XLOOKUP("[S06_InstallationsVerificationReportsIssueDetail]["&amp;1+ROW(B145)-ROW($B$133)&amp;"][AnnexIActivity]",Submission!$O:$O,Submission!$H:$N,""))</f>
        <v>21 - Refining of mineral oil</v>
      </c>
      <c r="D145" s="364"/>
      <c r="E145" s="274" t="str">
        <f>_xlfn.CONCAT(_xlfn.XLOOKUP("[S06_InstallationsVerificationReportsIssueDetail]["&amp;1+ROW(B145)-ROW($B$133)&amp;"][TypeOfIssue]",Submission!$O:$O,Submission!$H:$N,""))</f>
        <v>Recommendations for improvement</v>
      </c>
      <c r="F145" s="364"/>
      <c r="G145" s="105" t="str">
        <f>_xlfn.CONCAT(_xlfn.XLOOKUP("[S06_InstallationsVerificationReportsIssueDetail]["&amp;1+ROW(B145)-ROW($B$133)&amp;"][NumberOfInstallations]",Submission!$O:$O,Submission!$H:$N,""))</f>
        <v>1</v>
      </c>
      <c r="H145" s="108" t="str">
        <f>_xlfn.CONCAT(_xlfn.XLOOKUP("[S06_InstallationsVerificationReportsIssueDetail]["&amp;1+ROW(B145)-ROW($B$133)&amp;"][NumberOfIssues]",Submission!$O:$O,Submission!$H:$N,""))</f>
        <v>1</v>
      </c>
      <c r="I145" s="189" t="str">
        <f>_xlfn.CONCAT(_xlfn.XLOOKUP("[S06_InstallationsVerificationReportsIssueDetail]["&amp;1+ROW(B145)-ROW($B$133)&amp;"][ShareOfReportsConservativeEstimate]",Submission!$O:$O,Submission!$H:$N,""))</f>
        <v>0</v>
      </c>
    </row>
    <row r="146" spans="1:9" ht="26.4" customHeight="1" x14ac:dyDescent="0.3">
      <c r="A146" s="13"/>
      <c r="C146" s="274" t="str">
        <f>_xlfn.CONCAT(_xlfn.XLOOKUP("[S06_InstallationsVerificationReportsIssueDetail]["&amp;1+ROW(B146)-ROW($B$133)&amp;"][AnnexIActivity]",Submission!$O:$O,Submission!$H:$N,""))</f>
        <v>20 - Combustion of fuels as specified in Annex I of Directive 2003/87/EC</v>
      </c>
      <c r="D146" s="364"/>
      <c r="E146" s="274" t="str">
        <f>_xlfn.CONCAT(_xlfn.XLOOKUP("[S06_InstallationsVerificationReportsIssueDetail]["&amp;1+ROW(B146)-ROW($B$133)&amp;"][TypeOfIssue]",Submission!$O:$O,Submission!$H:$N,""))</f>
        <v>Recommendations for improvement</v>
      </c>
      <c r="F146" s="364"/>
      <c r="G146" s="105" t="str">
        <f>_xlfn.CONCAT(_xlfn.XLOOKUP("[S06_InstallationsVerificationReportsIssueDetail]["&amp;1+ROW(B146)-ROW($B$133)&amp;"][NumberOfInstallations]",Submission!$O:$O,Submission!$H:$N,""))</f>
        <v>21</v>
      </c>
      <c r="H146" s="108" t="str">
        <f>_xlfn.CONCAT(_xlfn.XLOOKUP("[S06_InstallationsVerificationReportsIssueDetail]["&amp;1+ROW(B146)-ROW($B$133)&amp;"][NumberOfIssues]",Submission!$O:$O,Submission!$H:$N,""))</f>
        <v>25</v>
      </c>
      <c r="I146" s="189" t="str">
        <f>_xlfn.CONCAT(_xlfn.XLOOKUP("[S06_InstallationsVerificationReportsIssueDetail]["&amp;1+ROW(B146)-ROW($B$133)&amp;"][ShareOfReportsConservativeEstimate]",Submission!$O:$O,Submission!$H:$N,""))</f>
        <v>0</v>
      </c>
    </row>
    <row r="147" spans="1:9" ht="26.4" customHeight="1" x14ac:dyDescent="0.3">
      <c r="A147" s="13"/>
      <c r="C147" s="274" t="str">
        <f>_xlfn.CONCAT(_xlfn.XLOOKUP("[S06_InstallationsVerificationReportsIssueDetail]["&amp;1+ROW(B147)-ROW($B$133)&amp;"][AnnexIActivity]",Submission!$O:$O,Submission!$H:$N,""))</f>
        <v>29 - Production of cement clinker in rotary kilns as specified in Annex I of Directive 2003/87/ EC</v>
      </c>
      <c r="D147" s="364"/>
      <c r="E147" s="274" t="str">
        <f>_xlfn.CONCAT(_xlfn.XLOOKUP("[S06_InstallationsVerificationReportsIssueDetail]["&amp;1+ROW(B147)-ROW($B$133)&amp;"][TypeOfIssue]",Submission!$O:$O,Submission!$H:$N,""))</f>
        <v>Recommendations for improvement</v>
      </c>
      <c r="F147" s="364"/>
      <c r="G147" s="105" t="str">
        <f>_xlfn.CONCAT(_xlfn.XLOOKUP("[S06_InstallationsVerificationReportsIssueDetail]["&amp;1+ROW(B147)-ROW($B$133)&amp;"][NumberOfInstallations]",Submission!$O:$O,Submission!$H:$N,""))</f>
        <v>4</v>
      </c>
      <c r="H147" s="108" t="str">
        <f>_xlfn.CONCAT(_xlfn.XLOOKUP("[S06_InstallationsVerificationReportsIssueDetail]["&amp;1+ROW(B147)-ROW($B$133)&amp;"][NumberOfIssues]",Submission!$O:$O,Submission!$H:$N,""))</f>
        <v>6</v>
      </c>
      <c r="I147" s="189" t="str">
        <f>_xlfn.CONCAT(_xlfn.XLOOKUP("[S06_InstallationsVerificationReportsIssueDetail]["&amp;1+ROW(B147)-ROW($B$133)&amp;"][ShareOfReportsConservativeEstimate]",Submission!$O:$O,Submission!$H:$N,""))</f>
        <v>0</v>
      </c>
    </row>
    <row r="148" spans="1:9" ht="26.4" customHeight="1" x14ac:dyDescent="0.3">
      <c r="A148" s="13"/>
      <c r="C148" s="274" t="str">
        <f>_xlfn.CONCAT(_xlfn.XLOOKUP("[S06_InstallationsVerificationReportsIssueDetail]["&amp;1+ROW(B148)-ROW($B$133)&amp;"][AnnexIActivity]",Submission!$O:$O,Submission!$H:$N,""))</f>
        <v>32 - Manufacture of ceramic products as specified in Annex I of Directive 2003/87/EC</v>
      </c>
      <c r="D148" s="364"/>
      <c r="E148" s="274" t="str">
        <f>_xlfn.CONCAT(_xlfn.XLOOKUP("[S06_InstallationsVerificationReportsIssueDetail]["&amp;1+ROW(B148)-ROW($B$133)&amp;"][TypeOfIssue]",Submission!$O:$O,Submission!$H:$N,""))</f>
        <v>Recommendations for improvement</v>
      </c>
      <c r="F148" s="364"/>
      <c r="G148" s="105" t="str">
        <f>_xlfn.CONCAT(_xlfn.XLOOKUP("[S06_InstallationsVerificationReportsIssueDetail]["&amp;1+ROW(B148)-ROW($B$133)&amp;"][NumberOfInstallations]",Submission!$O:$O,Submission!$H:$N,""))</f>
        <v>4</v>
      </c>
      <c r="H148" s="108" t="str">
        <f>_xlfn.CONCAT(_xlfn.XLOOKUP("[S06_InstallationsVerificationReportsIssueDetail]["&amp;1+ROW(B148)-ROW($B$133)&amp;"][NumberOfIssues]",Submission!$O:$O,Submission!$H:$N,""))</f>
        <v>6</v>
      </c>
      <c r="I148" s="189" t="str">
        <f>_xlfn.CONCAT(_xlfn.XLOOKUP("[S06_InstallationsVerificationReportsIssueDetail]["&amp;1+ROW(B148)-ROW($B$133)&amp;"][ShareOfReportsConservativeEstimate]",Submission!$O:$O,Submission!$H:$N,""))</f>
        <v>0</v>
      </c>
    </row>
    <row r="149" spans="1:9" ht="26.4" customHeight="1" x14ac:dyDescent="0.3">
      <c r="A149" s="13"/>
      <c r="C149" s="274" t="str">
        <f>_xlfn.CONCAT(_xlfn.XLOOKUP("[S06_InstallationsVerificationReportsIssueDetail]["&amp;1+ROW(B149)-ROW($B$133)&amp;"][AnnexIActivity]",Submission!$O:$O,Submission!$H:$N,""))</f>
        <v xml:space="preserve">22 - Production of coke </v>
      </c>
      <c r="D149" s="364"/>
      <c r="E149" s="274" t="str">
        <f>_xlfn.CONCAT(_xlfn.XLOOKUP("[S06_InstallationsVerificationReportsIssueDetail]["&amp;1+ROW(B149)-ROW($B$133)&amp;"][TypeOfIssue]",Submission!$O:$O,Submission!$H:$N,""))</f>
        <v>Recommendations for improvement</v>
      </c>
      <c r="F149" s="364"/>
      <c r="G149" s="105" t="str">
        <f>_xlfn.CONCAT(_xlfn.XLOOKUP("[S06_InstallationsVerificationReportsIssueDetail]["&amp;1+ROW(B149)-ROW($B$133)&amp;"][NumberOfInstallations]",Submission!$O:$O,Submission!$H:$N,""))</f>
        <v>1</v>
      </c>
      <c r="H149" s="108" t="str">
        <f>_xlfn.CONCAT(_xlfn.XLOOKUP("[S06_InstallationsVerificationReportsIssueDetail]["&amp;1+ROW(B149)-ROW($B$133)&amp;"][NumberOfIssues]",Submission!$O:$O,Submission!$H:$N,""))</f>
        <v>1</v>
      </c>
      <c r="I149" s="189" t="str">
        <f>_xlfn.CONCAT(_xlfn.XLOOKUP("[S06_InstallationsVerificationReportsIssueDetail]["&amp;1+ROW(B149)-ROW($B$133)&amp;"][ShareOfReportsConservativeEstimate]",Submission!$O:$O,Submission!$H:$N,""))</f>
        <v>0</v>
      </c>
    </row>
    <row r="150" spans="1:9" ht="26.4" customHeight="1" x14ac:dyDescent="0.3">
      <c r="A150" s="13"/>
      <c r="C150" s="274" t="str">
        <f>_xlfn.CONCAT(_xlfn.XLOOKUP("[S06_InstallationsVerificationReportsIssueDetail]["&amp;1+ROW(B150)-ROW($B$133)&amp;"][AnnexIActivity]",Submission!$O:$O,Submission!$H:$N,""))</f>
        <v>25 - Production or processing of ferrous metals as specified in Annex I of Directive 2003/87/EC</v>
      </c>
      <c r="D150" s="364"/>
      <c r="E150" s="274" t="str">
        <f>_xlfn.CONCAT(_xlfn.XLOOKUP("[S06_InstallationsVerificationReportsIssueDetail]["&amp;1+ROW(B150)-ROW($B$133)&amp;"][TypeOfIssue]",Submission!$O:$O,Submission!$H:$N,""))</f>
        <v>Recommendations for improvement</v>
      </c>
      <c r="F150" s="364"/>
      <c r="G150" s="105" t="str">
        <f>_xlfn.CONCAT(_xlfn.XLOOKUP("[S06_InstallationsVerificationReportsIssueDetail]["&amp;1+ROW(B150)-ROW($B$133)&amp;"][NumberOfInstallations]",Submission!$O:$O,Submission!$H:$N,""))</f>
        <v>2</v>
      </c>
      <c r="H150" s="108" t="str">
        <f>_xlfn.CONCAT(_xlfn.XLOOKUP("[S06_InstallationsVerificationReportsIssueDetail]["&amp;1+ROW(B150)-ROW($B$133)&amp;"][NumberOfIssues]",Submission!$O:$O,Submission!$H:$N,""))</f>
        <v>2</v>
      </c>
      <c r="I150" s="189" t="str">
        <f>_xlfn.CONCAT(_xlfn.XLOOKUP("[S06_InstallationsVerificationReportsIssueDetail]["&amp;1+ROW(B150)-ROW($B$133)&amp;"][ShareOfReportsConservativeEstimate]",Submission!$O:$O,Submission!$H:$N,""))</f>
        <v>0</v>
      </c>
    </row>
    <row r="151" spans="1:9" ht="26.4" customHeight="1" x14ac:dyDescent="0.3">
      <c r="A151" s="13"/>
      <c r="C151" s="274" t="str">
        <f>_xlfn.CONCAT(_xlfn.XLOOKUP("[S06_InstallationsVerificationReportsIssueDetail]["&amp;1+ROW(B151)-ROW($B$133)&amp;"][AnnexIActivity]",Submission!$O:$O,Submission!$H:$N,""))</f>
        <v>31 - Manufacture of glass as specified in Annex I of Directive 2003/87/EC</v>
      </c>
      <c r="D151" s="364"/>
      <c r="E151" s="274" t="str">
        <f>_xlfn.CONCAT(_xlfn.XLOOKUP("[S06_InstallationsVerificationReportsIssueDetail]["&amp;1+ROW(B151)-ROW($B$133)&amp;"][TypeOfIssue]",Submission!$O:$O,Submission!$H:$N,""))</f>
        <v>Recommendations for improvement</v>
      </c>
      <c r="F151" s="364"/>
      <c r="G151" s="105" t="str">
        <f>_xlfn.CONCAT(_xlfn.XLOOKUP("[S06_InstallationsVerificationReportsIssueDetail]["&amp;1+ROW(B151)-ROW($B$133)&amp;"][NumberOfInstallations]",Submission!$O:$O,Submission!$H:$N,""))</f>
        <v>5</v>
      </c>
      <c r="H151" s="108" t="str">
        <f>_xlfn.CONCAT(_xlfn.XLOOKUP("[S06_InstallationsVerificationReportsIssueDetail]["&amp;1+ROW(B151)-ROW($B$133)&amp;"][NumberOfIssues]",Submission!$O:$O,Submission!$H:$N,""))</f>
        <v>10</v>
      </c>
      <c r="I151" s="189" t="str">
        <f>_xlfn.CONCAT(_xlfn.XLOOKUP("[S06_InstallationsVerificationReportsIssueDetail]["&amp;1+ROW(B151)-ROW($B$133)&amp;"][ShareOfReportsConservativeEstimate]",Submission!$O:$O,Submission!$H:$N,""))</f>
        <v>0</v>
      </c>
    </row>
    <row r="152" spans="1:9" ht="26.4" customHeight="1" x14ac:dyDescent="0.3">
      <c r="A152" s="13"/>
      <c r="C152" s="274" t="str">
        <f>_xlfn.CONCAT(_xlfn.XLOOKUP("[S06_InstallationsVerificationReportsIssueDetail]["&amp;1+ROW(B152)-ROW($B$133)&amp;"][AnnexIActivity]",Submission!$O:$O,Submission!$H:$N,""))</f>
        <v>24 - Production of pig iron or steel as specified in Annex I of Directive 2003/87/EC</v>
      </c>
      <c r="D152" s="364"/>
      <c r="E152" s="274" t="str">
        <f>_xlfn.CONCAT(_xlfn.XLOOKUP("[S06_InstallationsVerificationReportsIssueDetail]["&amp;1+ROW(B152)-ROW($B$133)&amp;"][TypeOfIssue]",Submission!$O:$O,Submission!$H:$N,""))</f>
        <v>Recommendations for improvement</v>
      </c>
      <c r="F152" s="364"/>
      <c r="G152" s="105" t="str">
        <f>_xlfn.CONCAT(_xlfn.XLOOKUP("[S06_InstallationsVerificationReportsIssueDetail]["&amp;1+ROW(B152)-ROW($B$133)&amp;"][NumberOfInstallations]",Submission!$O:$O,Submission!$H:$N,""))</f>
        <v>1</v>
      </c>
      <c r="H152" s="108" t="str">
        <f>_xlfn.CONCAT(_xlfn.XLOOKUP("[S06_InstallationsVerificationReportsIssueDetail]["&amp;1+ROW(B152)-ROW($B$133)&amp;"][NumberOfIssues]",Submission!$O:$O,Submission!$H:$N,""))</f>
        <v>1</v>
      </c>
      <c r="I152" s="189" t="str">
        <f>_xlfn.CONCAT(_xlfn.XLOOKUP("[S06_InstallationsVerificationReportsIssueDetail]["&amp;1+ROW(B152)-ROW($B$133)&amp;"][ShareOfReportsConservativeEstimate]",Submission!$O:$O,Submission!$H:$N,""))</f>
        <v>0</v>
      </c>
    </row>
    <row r="153" spans="1:9" ht="26.4" hidden="1" customHeight="1" outlineLevel="1" x14ac:dyDescent="0.3">
      <c r="A153" s="13"/>
      <c r="C153" s="274" t="str">
        <f>_xlfn.CONCAT(_xlfn.XLOOKUP("[S06_InstallationsVerificationReportsIssueDetail]["&amp;1+ROW(B153)-ROW($B$133)&amp;"][AnnexIActivity]",Submission!$O:$O,Submission!$H:$N,""))</f>
        <v>30 - Production of lime or calcination of dolomite or magnesite as specified in Annex I of Directive 2003/87/ EC</v>
      </c>
      <c r="D153" s="364"/>
      <c r="E153" s="274" t="str">
        <f>_xlfn.CONCAT(_xlfn.XLOOKUP("[S06_InstallationsVerificationReportsIssueDetail]["&amp;1+ROW(B153)-ROW($B$133)&amp;"][TypeOfIssue]",Submission!$O:$O,Submission!$H:$N,""))</f>
        <v>Recommendations for improvement</v>
      </c>
      <c r="F153" s="364"/>
      <c r="G153" s="105" t="str">
        <f>_xlfn.CONCAT(_xlfn.XLOOKUP("[S06_InstallationsVerificationReportsIssueDetail]["&amp;1+ROW(B153)-ROW($B$133)&amp;"][NumberOfInstallations]",Submission!$O:$O,Submission!$H:$N,""))</f>
        <v>1</v>
      </c>
      <c r="H153" s="108" t="str">
        <f>_xlfn.CONCAT(_xlfn.XLOOKUP("[S06_InstallationsVerificationReportsIssueDetail]["&amp;1+ROW(B153)-ROW($B$133)&amp;"][NumberOfIssues]",Submission!$O:$O,Submission!$H:$N,""))</f>
        <v>1</v>
      </c>
      <c r="I153" s="189" t="str">
        <f>_xlfn.CONCAT(_xlfn.XLOOKUP("[S06_InstallationsVerificationReportsIssueDetail]["&amp;1+ROW(B153)-ROW($B$133)&amp;"][ShareOfReportsConservativeEstimate]",Submission!$O:$O,Submission!$H:$N,""))</f>
        <v>0</v>
      </c>
    </row>
    <row r="154" spans="1:9" ht="26.4" hidden="1" customHeight="1" outlineLevel="1" x14ac:dyDescent="0.3">
      <c r="A154" s="13"/>
      <c r="C154" s="274" t="str">
        <f>_xlfn.CONCAT(_xlfn.XLOOKUP("[S06_InstallationsVerificationReportsIssueDetail]["&amp;1+ROW(B154)-ROW($B$133)&amp;"][AnnexIActivity]",Submission!$O:$O,Submission!$H:$N,""))</f>
        <v/>
      </c>
      <c r="D154" s="364"/>
      <c r="E154" s="274" t="str">
        <f>_xlfn.CONCAT(_xlfn.XLOOKUP("[S06_InstallationsVerificationReportsIssueDetail]["&amp;1+ROW(B154)-ROW($B$133)&amp;"][TypeOfIssue]",Submission!$O:$O,Submission!$H:$N,""))</f>
        <v/>
      </c>
      <c r="F154" s="364"/>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9" t="str">
        <f>_xlfn.CONCAT(_xlfn.XLOOKUP("[S06_InstallationsVerificationReportsIssueDetail]["&amp;1+ROW(B154)-ROW($B$133)&amp;"][ShareOfReportsConservativeEstimate]",Submission!$O:$O,Submission!$H:$N,""))</f>
        <v/>
      </c>
    </row>
    <row r="155" spans="1:9" ht="26.4" hidden="1" customHeight="1" outlineLevel="1" x14ac:dyDescent="0.3">
      <c r="A155" s="13"/>
      <c r="C155" s="274" t="str">
        <f>_xlfn.CONCAT(_xlfn.XLOOKUP("[S06_InstallationsVerificationReportsIssueDetail]["&amp;1+ROW(B155)-ROW($B$133)&amp;"][AnnexIActivity]",Submission!$O:$O,Submission!$H:$N,""))</f>
        <v/>
      </c>
      <c r="D155" s="364"/>
      <c r="E155" s="274" t="str">
        <f>_xlfn.CONCAT(_xlfn.XLOOKUP("[S06_InstallationsVerificationReportsIssueDetail]["&amp;1+ROW(B155)-ROW($B$133)&amp;"][TypeOfIssue]",Submission!$O:$O,Submission!$H:$N,""))</f>
        <v/>
      </c>
      <c r="F155" s="364"/>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9" t="str">
        <f>_xlfn.CONCAT(_xlfn.XLOOKUP("[S06_InstallationsVerificationReportsIssueDetail]["&amp;1+ROW(B155)-ROW($B$133)&amp;"][ShareOfReportsConservativeEstimate]",Submission!$O:$O,Submission!$H:$N,""))</f>
        <v/>
      </c>
    </row>
    <row r="156" spans="1:9" ht="26.4" hidden="1" customHeight="1" outlineLevel="1" x14ac:dyDescent="0.3">
      <c r="A156" s="13"/>
      <c r="C156" s="274" t="str">
        <f>_xlfn.CONCAT(_xlfn.XLOOKUP("[S06_InstallationsVerificationReportsIssueDetail]["&amp;1+ROW(B156)-ROW($B$133)&amp;"][AnnexIActivity]",Submission!$O:$O,Submission!$H:$N,""))</f>
        <v/>
      </c>
      <c r="D156" s="364"/>
      <c r="E156" s="274" t="str">
        <f>_xlfn.CONCAT(_xlfn.XLOOKUP("[S06_InstallationsVerificationReportsIssueDetail]["&amp;1+ROW(B156)-ROW($B$133)&amp;"][TypeOfIssue]",Submission!$O:$O,Submission!$H:$N,""))</f>
        <v/>
      </c>
      <c r="F156" s="364"/>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9" t="str">
        <f>_xlfn.CONCAT(_xlfn.XLOOKUP("[S06_InstallationsVerificationReportsIssueDetail]["&amp;1+ROW(B156)-ROW($B$133)&amp;"][ShareOfReportsConservativeEstimate]",Submission!$O:$O,Submission!$H:$N,""))</f>
        <v/>
      </c>
    </row>
    <row r="157" spans="1:9" ht="26.4" hidden="1" customHeight="1" outlineLevel="1" x14ac:dyDescent="0.3">
      <c r="A157" s="13"/>
      <c r="C157" s="274" t="str">
        <f>_xlfn.CONCAT(_xlfn.XLOOKUP("[S06_InstallationsVerificationReportsIssueDetail]["&amp;1+ROW(B157)-ROW($B$133)&amp;"][AnnexIActivity]",Submission!$O:$O,Submission!$H:$N,""))</f>
        <v/>
      </c>
      <c r="D157" s="364"/>
      <c r="E157" s="274" t="str">
        <f>_xlfn.CONCAT(_xlfn.XLOOKUP("[S06_InstallationsVerificationReportsIssueDetail]["&amp;1+ROW(B157)-ROW($B$133)&amp;"][TypeOfIssue]",Submission!$O:$O,Submission!$H:$N,""))</f>
        <v/>
      </c>
      <c r="F157" s="364"/>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9" t="str">
        <f>_xlfn.CONCAT(_xlfn.XLOOKUP("[S06_InstallationsVerificationReportsIssueDetail]["&amp;1+ROW(B157)-ROW($B$133)&amp;"][ShareOfReportsConservativeEstimate]",Submission!$O:$O,Submission!$H:$N,""))</f>
        <v/>
      </c>
    </row>
    <row r="158" spans="1:9" ht="26.4" hidden="1" customHeight="1" outlineLevel="1" x14ac:dyDescent="0.3">
      <c r="A158" s="13"/>
      <c r="C158" s="274" t="str">
        <f>_xlfn.CONCAT(_xlfn.XLOOKUP("[S06_InstallationsVerificationReportsIssueDetail]["&amp;1+ROW(B158)-ROW($B$133)&amp;"][AnnexIActivity]",Submission!$O:$O,Submission!$H:$N,""))</f>
        <v/>
      </c>
      <c r="D158" s="364"/>
      <c r="E158" s="274" t="str">
        <f>_xlfn.CONCAT(_xlfn.XLOOKUP("[S06_InstallationsVerificationReportsIssueDetail]["&amp;1+ROW(B158)-ROW($B$133)&amp;"][TypeOfIssue]",Submission!$O:$O,Submission!$H:$N,""))</f>
        <v/>
      </c>
      <c r="F158" s="364"/>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9" t="str">
        <f>_xlfn.CONCAT(_xlfn.XLOOKUP("[S06_InstallationsVerificationReportsIssueDetail]["&amp;1+ROW(B158)-ROW($B$133)&amp;"][ShareOfReportsConservativeEstimate]",Submission!$O:$O,Submission!$H:$N,""))</f>
        <v/>
      </c>
    </row>
    <row r="159" spans="1:9" ht="26.4" hidden="1" customHeight="1" outlineLevel="1" x14ac:dyDescent="0.3">
      <c r="A159" s="13"/>
      <c r="C159" s="274" t="str">
        <f>_xlfn.CONCAT(_xlfn.XLOOKUP("[S06_InstallationsVerificationReportsIssueDetail]["&amp;1+ROW(B159)-ROW($B$133)&amp;"][AnnexIActivity]",Submission!$O:$O,Submission!$H:$N,""))</f>
        <v/>
      </c>
      <c r="D159" s="364"/>
      <c r="E159" s="274" t="str">
        <f>_xlfn.CONCAT(_xlfn.XLOOKUP("[S06_InstallationsVerificationReportsIssueDetail]["&amp;1+ROW(B159)-ROW($B$133)&amp;"][TypeOfIssue]",Submission!$O:$O,Submission!$H:$N,""))</f>
        <v/>
      </c>
      <c r="F159" s="364"/>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9" t="str">
        <f>_xlfn.CONCAT(_xlfn.XLOOKUP("[S06_InstallationsVerificationReportsIssueDetail]["&amp;1+ROW(B159)-ROW($B$133)&amp;"][ShareOfReportsConservativeEstimate]",Submission!$O:$O,Submission!$H:$N,""))</f>
        <v/>
      </c>
    </row>
    <row r="160" spans="1:9" ht="26.4" hidden="1" customHeight="1" outlineLevel="1" x14ac:dyDescent="0.3">
      <c r="A160" s="13"/>
      <c r="C160" s="274" t="str">
        <f>_xlfn.CONCAT(_xlfn.XLOOKUP("[S06_InstallationsVerificationReportsIssueDetail]["&amp;1+ROW(B160)-ROW($B$133)&amp;"][AnnexIActivity]",Submission!$O:$O,Submission!$H:$N,""))</f>
        <v/>
      </c>
      <c r="D160" s="364"/>
      <c r="E160" s="274" t="str">
        <f>_xlfn.CONCAT(_xlfn.XLOOKUP("[S06_InstallationsVerificationReportsIssueDetail]["&amp;1+ROW(B160)-ROW($B$133)&amp;"][TypeOfIssue]",Submission!$O:$O,Submission!$H:$N,""))</f>
        <v/>
      </c>
      <c r="F160" s="364"/>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9" t="str">
        <f>_xlfn.CONCAT(_xlfn.XLOOKUP("[S06_InstallationsVerificationReportsIssueDetail]["&amp;1+ROW(B160)-ROW($B$133)&amp;"][ShareOfReportsConservativeEstimate]",Submission!$O:$O,Submission!$H:$N,""))</f>
        <v/>
      </c>
    </row>
    <row r="161" spans="1:9" ht="26.4" hidden="1" customHeight="1" outlineLevel="1" x14ac:dyDescent="0.3">
      <c r="A161" s="13"/>
      <c r="C161" s="274" t="str">
        <f>_xlfn.CONCAT(_xlfn.XLOOKUP("[S06_InstallationsVerificationReportsIssueDetail]["&amp;1+ROW(B161)-ROW($B$133)&amp;"][AnnexIActivity]",Submission!$O:$O,Submission!$H:$N,""))</f>
        <v/>
      </c>
      <c r="D161" s="364"/>
      <c r="E161" s="274" t="str">
        <f>_xlfn.CONCAT(_xlfn.XLOOKUP("[S06_InstallationsVerificationReportsIssueDetail]["&amp;1+ROW(B161)-ROW($B$133)&amp;"][TypeOfIssue]",Submission!$O:$O,Submission!$H:$N,""))</f>
        <v/>
      </c>
      <c r="F161" s="364"/>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74" t="str">
        <f>_xlfn.CONCAT(_xlfn.XLOOKUP("[S06_InstallationsVerificationReportsIssueDetail]["&amp;1+ROW(B162)-ROW($B$133)&amp;"][AnnexIActivity]",Submission!$O:$O,Submission!$H:$N,""))</f>
        <v/>
      </c>
      <c r="D162" s="364"/>
      <c r="E162" s="274" t="str">
        <f>_xlfn.CONCAT(_xlfn.XLOOKUP("[S06_InstallationsVerificationReportsIssueDetail]["&amp;1+ROW(B162)-ROW($B$133)&amp;"][TypeOfIssue]",Submission!$O:$O,Submission!$H:$N,""))</f>
        <v/>
      </c>
      <c r="F162" s="364"/>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74" t="str">
        <f>_xlfn.CONCAT(_xlfn.XLOOKUP("[S06_InstallationsVerificationReportsIssueDetail]["&amp;1+ROW(B163)-ROW($B$133)&amp;"][AnnexIActivity]",Submission!$O:$O,Submission!$H:$N,""))</f>
        <v/>
      </c>
      <c r="D163" s="364"/>
      <c r="E163" s="274" t="str">
        <f>_xlfn.CONCAT(_xlfn.XLOOKUP("[S06_InstallationsVerificationReportsIssueDetail]["&amp;1+ROW(B163)-ROW($B$133)&amp;"][TypeOfIssue]",Submission!$O:$O,Submission!$H:$N,""))</f>
        <v/>
      </c>
      <c r="F163" s="364"/>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74" t="str">
        <f>_xlfn.CONCAT(_xlfn.XLOOKUP("[S06_InstallationsVerificationReportsIssueDetail]["&amp;1+ROW(B164)-ROW($B$133)&amp;"][AnnexIActivity]",Submission!$O:$O,Submission!$H:$N,""))</f>
        <v/>
      </c>
      <c r="D164" s="364"/>
      <c r="E164" s="274" t="str">
        <f>_xlfn.CONCAT(_xlfn.XLOOKUP("[S06_InstallationsVerificationReportsIssueDetail]["&amp;1+ROW(B164)-ROW($B$133)&amp;"][TypeOfIssue]",Submission!$O:$O,Submission!$H:$N,""))</f>
        <v/>
      </c>
      <c r="F164" s="364"/>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74" t="str">
        <f>_xlfn.CONCAT(_xlfn.XLOOKUP("[S06_InstallationsVerificationReportsIssueDetail]["&amp;1+ROW(B165)-ROW($B$133)&amp;"][AnnexIActivity]",Submission!$O:$O,Submission!$H:$N,""))</f>
        <v/>
      </c>
      <c r="D165" s="364"/>
      <c r="E165" s="274" t="str">
        <f>_xlfn.CONCAT(_xlfn.XLOOKUP("[S06_InstallationsVerificationReportsIssueDetail]["&amp;1+ROW(B165)-ROW($B$133)&amp;"][TypeOfIssue]",Submission!$O:$O,Submission!$H:$N,""))</f>
        <v/>
      </c>
      <c r="F165" s="364"/>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74" t="str">
        <f>_xlfn.CONCAT(_xlfn.XLOOKUP("[S06_InstallationsVerificationReportsIssueDetail]["&amp;1+ROW(B166)-ROW($B$133)&amp;"][AnnexIActivity]",Submission!$O:$O,Submission!$H:$N,""))</f>
        <v/>
      </c>
      <c r="D166" s="364"/>
      <c r="E166" s="274" t="str">
        <f>_xlfn.CONCAT(_xlfn.XLOOKUP("[S06_InstallationsVerificationReportsIssueDetail]["&amp;1+ROW(B166)-ROW($B$133)&amp;"][TypeOfIssue]",Submission!$O:$O,Submission!$H:$N,""))</f>
        <v/>
      </c>
      <c r="F166" s="364"/>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74" t="str">
        <f>_xlfn.CONCAT(_xlfn.XLOOKUP("[S06_InstallationsVerificationReportsIssueDetail]["&amp;1+ROW(B167)-ROW($B$133)&amp;"][AnnexIActivity]",Submission!$O:$O,Submission!$H:$N,""))</f>
        <v/>
      </c>
      <c r="D167" s="364"/>
      <c r="E167" s="274" t="str">
        <f>_xlfn.CONCAT(_xlfn.XLOOKUP("[S06_InstallationsVerificationReportsIssueDetail]["&amp;1+ROW(B167)-ROW($B$133)&amp;"][TypeOfIssue]",Submission!$O:$O,Submission!$H:$N,""))</f>
        <v/>
      </c>
      <c r="F167" s="364"/>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74" t="str">
        <f>_xlfn.CONCAT(_xlfn.XLOOKUP("[S06_InstallationsVerificationReportsIssueDetail]["&amp;1+ROW(B168)-ROW($B$133)&amp;"][AnnexIActivity]",Submission!$O:$O,Submission!$H:$N,""))</f>
        <v/>
      </c>
      <c r="D168" s="364"/>
      <c r="E168" s="274" t="str">
        <f>_xlfn.CONCAT(_xlfn.XLOOKUP("[S06_InstallationsVerificationReportsIssueDetail]["&amp;1+ROW(B168)-ROW($B$133)&amp;"][TypeOfIssue]",Submission!$O:$O,Submission!$H:$N,""))</f>
        <v/>
      </c>
      <c r="F168" s="364"/>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4" t="str">
        <f>_xlfn.CONCAT(_xlfn.XLOOKUP("[S06_InstallationsVerificationReportsIssueDetail]["&amp;1+ROW(B169)-ROW($B$133)&amp;"][AnnexIActivity]",Submission!$O:$O,Submission!$H:$N,""))</f>
        <v/>
      </c>
      <c r="D169" s="364"/>
      <c r="E169" s="274" t="str">
        <f>_xlfn.CONCAT(_xlfn.XLOOKUP("[S06_InstallationsVerificationReportsIssueDetail]["&amp;1+ROW(B169)-ROW($B$133)&amp;"][TypeOfIssue]",Submission!$O:$O,Submission!$H:$N,""))</f>
        <v/>
      </c>
      <c r="F169" s="364"/>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4" t="str">
        <f>_xlfn.CONCAT(_xlfn.XLOOKUP("[S06_InstallationsVerificationReportsIssueDetail]["&amp;1+ROW(B170)-ROW($B$133)&amp;"][AnnexIActivity]",Submission!$O:$O,Submission!$H:$N,""))</f>
        <v/>
      </c>
      <c r="D170" s="364"/>
      <c r="E170" s="274" t="str">
        <f>_xlfn.CONCAT(_xlfn.XLOOKUP("[S06_InstallationsVerificationReportsIssueDetail]["&amp;1+ROW(B170)-ROW($B$133)&amp;"][TypeOfIssue]",Submission!$O:$O,Submission!$H:$N,""))</f>
        <v/>
      </c>
      <c r="F170" s="364"/>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4" t="str">
        <f>_xlfn.CONCAT(_xlfn.XLOOKUP("[S06_InstallationsVerificationReportsIssueDetail]["&amp;1+ROW(B171)-ROW($B$133)&amp;"][AnnexIActivity]",Submission!$O:$O,Submission!$H:$N,""))</f>
        <v/>
      </c>
      <c r="D171" s="364"/>
      <c r="E171" s="274" t="str">
        <f>_xlfn.CONCAT(_xlfn.XLOOKUP("[S06_InstallationsVerificationReportsIssueDetail]["&amp;1+ROW(B171)-ROW($B$133)&amp;"][TypeOfIssue]",Submission!$O:$O,Submission!$H:$N,""))</f>
        <v/>
      </c>
      <c r="F171" s="364"/>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4" t="str">
        <f>_xlfn.CONCAT(_xlfn.XLOOKUP("[S06_InstallationsVerificationReportsIssueDetail]["&amp;1+ROW(B172)-ROW($B$133)&amp;"][AnnexIActivity]",Submission!$O:$O,Submission!$H:$N,""))</f>
        <v/>
      </c>
      <c r="D172" s="364"/>
      <c r="E172" s="274" t="str">
        <f>_xlfn.CONCAT(_xlfn.XLOOKUP("[S06_InstallationsVerificationReportsIssueDetail]["&amp;1+ROW(B172)-ROW($B$133)&amp;"][TypeOfIssue]",Submission!$O:$O,Submission!$H:$N,""))</f>
        <v/>
      </c>
      <c r="F172" s="364"/>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4" t="str">
        <f>_xlfn.CONCAT(_xlfn.XLOOKUP("[S06_InstallationsVerificationReportsIssueDetail]["&amp;1+ROW(B173)-ROW($B$133)&amp;"][AnnexIActivity]",Submission!$O:$O,Submission!$H:$N,""))</f>
        <v/>
      </c>
      <c r="D173" s="364"/>
      <c r="E173" s="274" t="str">
        <f>_xlfn.CONCAT(_xlfn.XLOOKUP("[S06_InstallationsVerificationReportsIssueDetail]["&amp;1+ROW(B173)-ROW($B$133)&amp;"][TypeOfIssue]",Submission!$O:$O,Submission!$H:$N,""))</f>
        <v/>
      </c>
      <c r="F173" s="364"/>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4" t="str">
        <f>_xlfn.CONCAT(_xlfn.XLOOKUP("[S06_InstallationsVerificationReportsIssueDetail]["&amp;1+ROW(B174)-ROW($B$133)&amp;"][AnnexIActivity]",Submission!$O:$O,Submission!$H:$N,""))</f>
        <v/>
      </c>
      <c r="D174" s="364"/>
      <c r="E174" s="274" t="str">
        <f>_xlfn.CONCAT(_xlfn.XLOOKUP("[S06_InstallationsVerificationReportsIssueDetail]["&amp;1+ROW(B174)-ROW($B$133)&amp;"][TypeOfIssue]",Submission!$O:$O,Submission!$H:$N,""))</f>
        <v/>
      </c>
      <c r="F174" s="364"/>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4" t="str">
        <f>_xlfn.CONCAT(_xlfn.XLOOKUP("[S06_InstallationsVerificationReportsIssueDetail]["&amp;1+ROW(B175)-ROW($B$133)&amp;"][AnnexIActivity]",Submission!$O:$O,Submission!$H:$N,""))</f>
        <v/>
      </c>
      <c r="D175" s="364"/>
      <c r="E175" s="274" t="str">
        <f>_xlfn.CONCAT(_xlfn.XLOOKUP("[S06_InstallationsVerificationReportsIssueDetail]["&amp;1+ROW(B175)-ROW($B$133)&amp;"][TypeOfIssue]",Submission!$O:$O,Submission!$H:$N,""))</f>
        <v/>
      </c>
      <c r="F175" s="364"/>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4" t="str">
        <f>_xlfn.CONCAT(_xlfn.XLOOKUP("[S06_InstallationsVerificationReportsIssueDetail]["&amp;1+ROW(B176)-ROW($B$133)&amp;"][AnnexIActivity]",Submission!$O:$O,Submission!$H:$N,""))</f>
        <v/>
      </c>
      <c r="D176" s="364"/>
      <c r="E176" s="274" t="str">
        <f>_xlfn.CONCAT(_xlfn.XLOOKUP("[S06_InstallationsVerificationReportsIssueDetail]["&amp;1+ROW(B176)-ROW($B$133)&amp;"][TypeOfIssue]",Submission!$O:$O,Submission!$H:$N,""))</f>
        <v/>
      </c>
      <c r="F176" s="364"/>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4" t="str">
        <f>_xlfn.CONCAT(_xlfn.XLOOKUP("[S06_InstallationsVerificationReportsIssueDetail]["&amp;1+ROW(B177)-ROW($B$133)&amp;"][AnnexIActivity]",Submission!$O:$O,Submission!$H:$N,""))</f>
        <v/>
      </c>
      <c r="D177" s="364"/>
      <c r="E177" s="274" t="str">
        <f>_xlfn.CONCAT(_xlfn.XLOOKUP("[S06_InstallationsVerificationReportsIssueDetail]["&amp;1+ROW(B177)-ROW($B$133)&amp;"][TypeOfIssue]",Submission!$O:$O,Submission!$H:$N,""))</f>
        <v/>
      </c>
      <c r="F177" s="364"/>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4" t="str">
        <f>_xlfn.CONCAT(_xlfn.XLOOKUP("[S06_InstallationsVerificationReportsIssueDetail]["&amp;1+ROW(B178)-ROW($B$133)&amp;"][AnnexIActivity]",Submission!$O:$O,Submission!$H:$N,""))</f>
        <v/>
      </c>
      <c r="D178" s="364"/>
      <c r="E178" s="274" t="str">
        <f>_xlfn.CONCAT(_xlfn.XLOOKUP("[S06_InstallationsVerificationReportsIssueDetail]["&amp;1+ROW(B178)-ROW($B$133)&amp;"][TypeOfIssue]",Submission!$O:$O,Submission!$H:$N,""))</f>
        <v/>
      </c>
      <c r="F178" s="364"/>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4" t="str">
        <f>_xlfn.CONCAT(_xlfn.XLOOKUP("[S06_InstallationsVerificationReportsIssueDetail]["&amp;1+ROW(B179)-ROW($B$133)&amp;"][AnnexIActivity]",Submission!$O:$O,Submission!$H:$N,""))</f>
        <v/>
      </c>
      <c r="D179" s="364"/>
      <c r="E179" s="274" t="str">
        <f>_xlfn.CONCAT(_xlfn.XLOOKUP("[S06_InstallationsVerificationReportsIssueDetail]["&amp;1+ROW(B179)-ROW($B$133)&amp;"][TypeOfIssue]",Submission!$O:$O,Submission!$H:$N,""))</f>
        <v/>
      </c>
      <c r="F179" s="364"/>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4" t="str">
        <f>_xlfn.CONCAT(_xlfn.XLOOKUP("[S06_InstallationsVerificationReportsIssueDetail]["&amp;1+ROW(B180)-ROW($B$133)&amp;"][AnnexIActivity]",Submission!$O:$O,Submission!$H:$N,""))</f>
        <v/>
      </c>
      <c r="D180" s="364"/>
      <c r="E180" s="274" t="str">
        <f>_xlfn.CONCAT(_xlfn.XLOOKUP("[S06_InstallationsVerificationReportsIssueDetail]["&amp;1+ROW(B180)-ROW($B$133)&amp;"][TypeOfIssue]",Submission!$O:$O,Submission!$H:$N,""))</f>
        <v/>
      </c>
      <c r="F180" s="364"/>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4" t="str">
        <f>_xlfn.CONCAT(_xlfn.XLOOKUP("[S06_InstallationsVerificationReportsIssueDetail]["&amp;1+ROW(B181)-ROW($B$133)&amp;"][AnnexIActivity]",Submission!$O:$O,Submission!$H:$N,""))</f>
        <v/>
      </c>
      <c r="D181" s="364"/>
      <c r="E181" s="274" t="str">
        <f>_xlfn.CONCAT(_xlfn.XLOOKUP("[S06_InstallationsVerificationReportsIssueDetail]["&amp;1+ROW(B181)-ROW($B$133)&amp;"][TypeOfIssue]",Submission!$O:$O,Submission!$H:$N,""))</f>
        <v/>
      </c>
      <c r="F181" s="364"/>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4" t="str">
        <f>_xlfn.CONCAT(_xlfn.XLOOKUP("[S06_InstallationsVerificationReportsIssueDetail]["&amp;1+ROW(B182)-ROW($B$133)&amp;"][AnnexIActivity]",Submission!$O:$O,Submission!$H:$N,""))</f>
        <v/>
      </c>
      <c r="D182" s="364"/>
      <c r="E182" s="274" t="str">
        <f>_xlfn.CONCAT(_xlfn.XLOOKUP("[S06_InstallationsVerificationReportsIssueDetail]["&amp;1+ROW(B182)-ROW($B$133)&amp;"][TypeOfIssue]",Submission!$O:$O,Submission!$H:$N,""))</f>
        <v/>
      </c>
      <c r="F182" s="364"/>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4" t="str">
        <f>_xlfn.CONCAT(_xlfn.XLOOKUP("[S06_InstallationsVerificationReportsIssueDetail]["&amp;1+ROW(B183)-ROW($B$133)&amp;"][AnnexIActivity]",Submission!$O:$O,Submission!$H:$N,""))</f>
        <v/>
      </c>
      <c r="D183" s="364"/>
      <c r="E183" s="274" t="str">
        <f>_xlfn.CONCAT(_xlfn.XLOOKUP("[S06_InstallationsVerificationReportsIssueDetail]["&amp;1+ROW(B183)-ROW($B$133)&amp;"][TypeOfIssue]",Submission!$O:$O,Submission!$H:$N,""))</f>
        <v/>
      </c>
      <c r="F183" s="364"/>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4" t="str">
        <f>_xlfn.CONCAT(_xlfn.XLOOKUP("[S06_InstallationsVerificationReportsIssueDetail]["&amp;1+ROW(B184)-ROW($B$133)&amp;"][AnnexIActivity]",Submission!$O:$O,Submission!$H:$N,""))</f>
        <v/>
      </c>
      <c r="D184" s="364"/>
      <c r="E184" s="274" t="str">
        <f>_xlfn.CONCAT(_xlfn.XLOOKUP("[S06_InstallationsVerificationReportsIssueDetail]["&amp;1+ROW(B184)-ROW($B$133)&amp;"][TypeOfIssue]",Submission!$O:$O,Submission!$H:$N,""))</f>
        <v/>
      </c>
      <c r="F184" s="364"/>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4" t="str">
        <f>_xlfn.CONCAT(_xlfn.XLOOKUP("[S06_InstallationsVerificationReportsIssueDetail]["&amp;1+ROW(B185)-ROW($B$133)&amp;"][AnnexIActivity]",Submission!$O:$O,Submission!$H:$N,""))</f>
        <v/>
      </c>
      <c r="D185" s="364"/>
      <c r="E185" s="274" t="str">
        <f>_xlfn.CONCAT(_xlfn.XLOOKUP("[S06_InstallationsVerificationReportsIssueDetail]["&amp;1+ROW(B185)-ROW($B$133)&amp;"][TypeOfIssue]",Submission!$O:$O,Submission!$H:$N,""))</f>
        <v/>
      </c>
      <c r="F185" s="364"/>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4" t="str">
        <f>_xlfn.CONCAT(_xlfn.XLOOKUP("[S06_InstallationsVerificationReportsIssueDetail]["&amp;1+ROW(B186)-ROW($B$133)&amp;"][AnnexIActivity]",Submission!$O:$O,Submission!$H:$N,""))</f>
        <v/>
      </c>
      <c r="D186" s="364"/>
      <c r="E186" s="274" t="str">
        <f>_xlfn.CONCAT(_xlfn.XLOOKUP("[S06_InstallationsVerificationReportsIssueDetail]["&amp;1+ROW(B186)-ROW($B$133)&amp;"][TypeOfIssue]",Submission!$O:$O,Submission!$H:$N,""))</f>
        <v/>
      </c>
      <c r="F186" s="364"/>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4" t="str">
        <f>_xlfn.CONCAT(_xlfn.XLOOKUP("[S06_InstallationsVerificationReportsIssueDetail]["&amp;1+ROW(B187)-ROW($B$133)&amp;"][AnnexIActivity]",Submission!$O:$O,Submission!$H:$N,""))</f>
        <v/>
      </c>
      <c r="D187" s="364"/>
      <c r="E187" s="274" t="str">
        <f>_xlfn.CONCAT(_xlfn.XLOOKUP("[S06_InstallationsVerificationReportsIssueDetail]["&amp;1+ROW(B187)-ROW($B$133)&amp;"][TypeOfIssue]",Submission!$O:$O,Submission!$H:$N,""))</f>
        <v/>
      </c>
      <c r="F187" s="364"/>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4" t="str">
        <f>_xlfn.CONCAT(_xlfn.XLOOKUP("[S06_InstallationsVerificationReportsIssueDetail]["&amp;1+ROW(B188)-ROW($B$133)&amp;"][AnnexIActivity]",Submission!$O:$O,Submission!$H:$N,""))</f>
        <v/>
      </c>
      <c r="D188" s="364"/>
      <c r="E188" s="274" t="str">
        <f>_xlfn.CONCAT(_xlfn.XLOOKUP("[S06_InstallationsVerificationReportsIssueDetail]["&amp;1+ROW(B188)-ROW($B$133)&amp;"][TypeOfIssue]",Submission!$O:$O,Submission!$H:$N,""))</f>
        <v/>
      </c>
      <c r="F188" s="364"/>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4" t="str">
        <f>_xlfn.CONCAT(_xlfn.XLOOKUP("[S06_InstallationsVerificationReportsIssueDetail]["&amp;1+ROW(B189)-ROW($B$133)&amp;"][AnnexIActivity]",Submission!$O:$O,Submission!$H:$N,""))</f>
        <v/>
      </c>
      <c r="D189" s="364"/>
      <c r="E189" s="274" t="str">
        <f>_xlfn.CONCAT(_xlfn.XLOOKUP("[S06_InstallationsVerificationReportsIssueDetail]["&amp;1+ROW(B189)-ROW($B$133)&amp;"][TypeOfIssue]",Submission!$O:$O,Submission!$H:$N,""))</f>
        <v/>
      </c>
      <c r="F189" s="364"/>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4" t="str">
        <f>_xlfn.CONCAT(_xlfn.XLOOKUP("[S06_InstallationsVerificationReportsIssueDetail]["&amp;1+ROW(B190)-ROW($B$133)&amp;"][AnnexIActivity]",Submission!$O:$O,Submission!$H:$N,""))</f>
        <v/>
      </c>
      <c r="D190" s="364"/>
      <c r="E190" s="274" t="str">
        <f>_xlfn.CONCAT(_xlfn.XLOOKUP("[S06_InstallationsVerificationReportsIssueDetail]["&amp;1+ROW(B190)-ROW($B$133)&amp;"][TypeOfIssue]",Submission!$O:$O,Submission!$H:$N,""))</f>
        <v/>
      </c>
      <c r="F190" s="364"/>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4" t="str">
        <f>_xlfn.CONCAT(_xlfn.XLOOKUP("[S06_InstallationsVerificationReportsIssueDetail]["&amp;1+ROW(B191)-ROW($B$133)&amp;"][AnnexIActivity]",Submission!$O:$O,Submission!$H:$N,""))</f>
        <v/>
      </c>
      <c r="D191" s="364"/>
      <c r="E191" s="274" t="str">
        <f>_xlfn.CONCAT(_xlfn.XLOOKUP("[S06_InstallationsVerificationReportsIssueDetail]["&amp;1+ROW(B191)-ROW($B$133)&amp;"][TypeOfIssue]",Submission!$O:$O,Submission!$H:$N,""))</f>
        <v/>
      </c>
      <c r="F191" s="364"/>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4" t="str">
        <f>_xlfn.CONCAT(_xlfn.XLOOKUP("[S06_InstallationsVerificationReportsIssueDetail]["&amp;1+ROW(B192)-ROW($B$133)&amp;"][AnnexIActivity]",Submission!$O:$O,Submission!$H:$N,""))</f>
        <v/>
      </c>
      <c r="D192" s="364"/>
      <c r="E192" s="274" t="str">
        <f>_xlfn.CONCAT(_xlfn.XLOOKUP("[S06_InstallationsVerificationReportsIssueDetail]["&amp;1+ROW(B192)-ROW($B$133)&amp;"][TypeOfIssue]",Submission!$O:$O,Submission!$H:$N,""))</f>
        <v/>
      </c>
      <c r="F192" s="364"/>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4" t="str">
        <f>_xlfn.CONCAT(_xlfn.XLOOKUP("[S06_InstallationsVerificationReportsIssueDetail]["&amp;1+ROW(B193)-ROW($B$133)&amp;"][AnnexIActivity]",Submission!$O:$O,Submission!$H:$N,""))</f>
        <v/>
      </c>
      <c r="D193" s="364"/>
      <c r="E193" s="274" t="str">
        <f>_xlfn.CONCAT(_xlfn.XLOOKUP("[S06_InstallationsVerificationReportsIssueDetail]["&amp;1+ROW(B193)-ROW($B$133)&amp;"][TypeOfIssue]",Submission!$O:$O,Submission!$H:$N,""))</f>
        <v/>
      </c>
      <c r="F193" s="364"/>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4" t="str">
        <f>_xlfn.CONCAT(_xlfn.XLOOKUP("[S06_InstallationsVerificationReportsIssueDetail]["&amp;1+ROW(B194)-ROW($B$133)&amp;"][AnnexIActivity]",Submission!$O:$O,Submission!$H:$N,""))</f>
        <v/>
      </c>
      <c r="D194" s="364"/>
      <c r="E194" s="274" t="str">
        <f>_xlfn.CONCAT(_xlfn.XLOOKUP("[S06_InstallationsVerificationReportsIssueDetail]["&amp;1+ROW(B194)-ROW($B$133)&amp;"][TypeOfIssue]",Submission!$O:$O,Submission!$H:$N,""))</f>
        <v/>
      </c>
      <c r="F194" s="364"/>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4" t="str">
        <f>_xlfn.CONCAT(_xlfn.XLOOKUP("[S06_InstallationsVerificationReportsIssueDetail]["&amp;1+ROW(B195)-ROW($B$133)&amp;"][AnnexIActivity]",Submission!$O:$O,Submission!$H:$N,""))</f>
        <v/>
      </c>
      <c r="D195" s="364"/>
      <c r="E195" s="274" t="str">
        <f>_xlfn.CONCAT(_xlfn.XLOOKUP("[S06_InstallationsVerificationReportsIssueDetail]["&amp;1+ROW(B195)-ROW($B$133)&amp;"][TypeOfIssue]",Submission!$O:$O,Submission!$H:$N,""))</f>
        <v/>
      </c>
      <c r="F195" s="364"/>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4" t="str">
        <f>_xlfn.CONCAT(_xlfn.XLOOKUP("[S06_InstallationsVerificationReportsIssueDetail]["&amp;1+ROW(B196)-ROW($B$133)&amp;"][AnnexIActivity]",Submission!$O:$O,Submission!$H:$N,""))</f>
        <v/>
      </c>
      <c r="D196" s="364"/>
      <c r="E196" s="274" t="str">
        <f>_xlfn.CONCAT(_xlfn.XLOOKUP("[S06_InstallationsVerificationReportsIssueDetail]["&amp;1+ROW(B196)-ROW($B$133)&amp;"][TypeOfIssue]",Submission!$O:$O,Submission!$H:$N,""))</f>
        <v/>
      </c>
      <c r="F196" s="364"/>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4" t="str">
        <f>_xlfn.CONCAT(_xlfn.XLOOKUP("[S06_InstallationsVerificationReportsIssueDetail]["&amp;1+ROW(B197)-ROW($B$133)&amp;"][AnnexIActivity]",Submission!$O:$O,Submission!$H:$N,""))</f>
        <v/>
      </c>
      <c r="D197" s="364"/>
      <c r="E197" s="274" t="str">
        <f>_xlfn.CONCAT(_xlfn.XLOOKUP("[S06_InstallationsVerificationReportsIssueDetail]["&amp;1+ROW(B197)-ROW($B$133)&amp;"][TypeOfIssue]",Submission!$O:$O,Submission!$H:$N,""))</f>
        <v/>
      </c>
      <c r="F197" s="364"/>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4" t="str">
        <f>_xlfn.CONCAT(_xlfn.XLOOKUP("[S06_InstallationsVerificationReportsIssueDetail]["&amp;1+ROW(B198)-ROW($B$133)&amp;"][AnnexIActivity]",Submission!$O:$O,Submission!$H:$N,""))</f>
        <v/>
      </c>
      <c r="D198" s="364"/>
      <c r="E198" s="274" t="str">
        <f>_xlfn.CONCAT(_xlfn.XLOOKUP("[S06_InstallationsVerificationReportsIssueDetail]["&amp;1+ROW(B198)-ROW($B$133)&amp;"][TypeOfIssue]",Submission!$O:$O,Submission!$H:$N,""))</f>
        <v/>
      </c>
      <c r="F198" s="364"/>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4" t="str">
        <f>_xlfn.CONCAT(_xlfn.XLOOKUP("[S06_InstallationsVerificationReportsIssueDetail]["&amp;1+ROW(B199)-ROW($B$133)&amp;"][AnnexIActivity]",Submission!$O:$O,Submission!$H:$N,""))</f>
        <v/>
      </c>
      <c r="D199" s="364"/>
      <c r="E199" s="274" t="str">
        <f>_xlfn.CONCAT(_xlfn.XLOOKUP("[S06_InstallationsVerificationReportsIssueDetail]["&amp;1+ROW(B199)-ROW($B$133)&amp;"][TypeOfIssue]",Submission!$O:$O,Submission!$H:$N,""))</f>
        <v/>
      </c>
      <c r="F199" s="364"/>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4" t="str">
        <f>_xlfn.CONCAT(_xlfn.XLOOKUP("[S06_InstallationsVerificationReportsIssueDetail]["&amp;1+ROW(B200)-ROW($B$133)&amp;"][AnnexIActivity]",Submission!$O:$O,Submission!$H:$N,""))</f>
        <v/>
      </c>
      <c r="D200" s="364"/>
      <c r="E200" s="274" t="str">
        <f>_xlfn.CONCAT(_xlfn.XLOOKUP("[S06_InstallationsVerificationReportsIssueDetail]["&amp;1+ROW(B200)-ROW($B$133)&amp;"][TypeOfIssue]",Submission!$O:$O,Submission!$H:$N,""))</f>
        <v/>
      </c>
      <c r="F200" s="364"/>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4" t="str">
        <f>_xlfn.CONCAT(_xlfn.XLOOKUP("[S06_InstallationsVerificationReportsIssueDetail]["&amp;1+ROW(B201)-ROW($B$133)&amp;"][AnnexIActivity]",Submission!$O:$O,Submission!$H:$N,""))</f>
        <v/>
      </c>
      <c r="D201" s="364"/>
      <c r="E201" s="274" t="str">
        <f>_xlfn.CONCAT(_xlfn.XLOOKUP("[S06_InstallationsVerificationReportsIssueDetail]["&amp;1+ROW(B201)-ROW($B$133)&amp;"][TypeOfIssue]",Submission!$O:$O,Submission!$H:$N,""))</f>
        <v/>
      </c>
      <c r="F201" s="364"/>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4" t="str">
        <f>_xlfn.CONCAT(_xlfn.XLOOKUP("[S06_InstallationsVerificationReportsIssueDetail]["&amp;1+ROW(B202)-ROW($B$133)&amp;"][AnnexIActivity]",Submission!$O:$O,Submission!$H:$N,""))</f>
        <v/>
      </c>
      <c r="D202" s="364"/>
      <c r="E202" s="274" t="str">
        <f>_xlfn.CONCAT(_xlfn.XLOOKUP("[S06_InstallationsVerificationReportsIssueDetail]["&amp;1+ROW(B202)-ROW($B$133)&amp;"][TypeOfIssue]",Submission!$O:$O,Submission!$H:$N,""))</f>
        <v/>
      </c>
      <c r="F202" s="364"/>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4" t="str">
        <f>_xlfn.CONCAT(_xlfn.XLOOKUP("[S06_InstallationsVerificationReportsIssueDetail]["&amp;1+ROW(B203)-ROW($B$133)&amp;"][AnnexIActivity]",Submission!$O:$O,Submission!$H:$N,""))</f>
        <v/>
      </c>
      <c r="D203" s="364"/>
      <c r="E203" s="274" t="str">
        <f>_xlfn.CONCAT(_xlfn.XLOOKUP("[S06_InstallationsVerificationReportsIssueDetail]["&amp;1+ROW(B203)-ROW($B$133)&amp;"][TypeOfIssue]",Submission!$O:$O,Submission!$H:$N,""))</f>
        <v/>
      </c>
      <c r="F203" s="364"/>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4" t="str">
        <f>_xlfn.CONCAT(_xlfn.XLOOKUP("[S06_InstallationsVerificationReportsIssueDetail]["&amp;1+ROW(B204)-ROW($B$133)&amp;"][AnnexIActivity]",Submission!$O:$O,Submission!$H:$N,""))</f>
        <v/>
      </c>
      <c r="D204" s="364"/>
      <c r="E204" s="274" t="str">
        <f>_xlfn.CONCAT(_xlfn.XLOOKUP("[S06_InstallationsVerificationReportsIssueDetail]["&amp;1+ROW(B204)-ROW($B$133)&amp;"][TypeOfIssue]",Submission!$O:$O,Submission!$H:$N,""))</f>
        <v/>
      </c>
      <c r="F204" s="364"/>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4" t="str">
        <f>_xlfn.CONCAT(_xlfn.XLOOKUP("[S06_InstallationsVerificationReportsIssueDetail]["&amp;1+ROW(B205)-ROW($B$133)&amp;"][AnnexIActivity]",Submission!$O:$O,Submission!$H:$N,""))</f>
        <v/>
      </c>
      <c r="D205" s="364"/>
      <c r="E205" s="274" t="str">
        <f>_xlfn.CONCAT(_xlfn.XLOOKUP("[S06_InstallationsVerificationReportsIssueDetail]["&amp;1+ROW(B205)-ROW($B$133)&amp;"][TypeOfIssue]",Submission!$O:$O,Submission!$H:$N,""))</f>
        <v/>
      </c>
      <c r="F205" s="364"/>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4" t="str">
        <f>_xlfn.CONCAT(_xlfn.XLOOKUP("[S06_InstallationsVerificationReportsIssueDetail]["&amp;1+ROW(B206)-ROW($B$133)&amp;"][AnnexIActivity]",Submission!$O:$O,Submission!$H:$N,""))</f>
        <v/>
      </c>
      <c r="D206" s="364"/>
      <c r="E206" s="274" t="str">
        <f>_xlfn.CONCAT(_xlfn.XLOOKUP("[S06_InstallationsVerificationReportsIssueDetail]["&amp;1+ROW(B206)-ROW($B$133)&amp;"][TypeOfIssue]",Submission!$O:$O,Submission!$H:$N,""))</f>
        <v/>
      </c>
      <c r="F206" s="364"/>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4" t="str">
        <f>_xlfn.CONCAT(_xlfn.XLOOKUP("[S06_InstallationsVerificationReportsIssueDetail]["&amp;1+ROW(B207)-ROW($B$133)&amp;"][AnnexIActivity]",Submission!$O:$O,Submission!$H:$N,""))</f>
        <v/>
      </c>
      <c r="D207" s="364"/>
      <c r="E207" s="274" t="str">
        <f>_xlfn.CONCAT(_xlfn.XLOOKUP("[S06_InstallationsVerificationReportsIssueDetail]["&amp;1+ROW(B207)-ROW($B$133)&amp;"][TypeOfIssue]",Submission!$O:$O,Submission!$H:$N,""))</f>
        <v/>
      </c>
      <c r="F207" s="364"/>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4" t="str">
        <f>_xlfn.CONCAT(_xlfn.XLOOKUP("[S06_InstallationsVerificationReportsIssueDetail]["&amp;1+ROW(B208)-ROW($B$133)&amp;"][AnnexIActivity]",Submission!$O:$O,Submission!$H:$N,""))</f>
        <v/>
      </c>
      <c r="D208" s="364"/>
      <c r="E208" s="274" t="str">
        <f>_xlfn.CONCAT(_xlfn.XLOOKUP("[S06_InstallationsVerificationReportsIssueDetail]["&amp;1+ROW(B208)-ROW($B$133)&amp;"][TypeOfIssue]",Submission!$O:$O,Submission!$H:$N,""))</f>
        <v/>
      </c>
      <c r="F208" s="364"/>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4" t="str">
        <f>_xlfn.CONCAT(_xlfn.XLOOKUP("[S06_InstallationsVerificationReportsIssueDetail]["&amp;1+ROW(B209)-ROW($B$133)&amp;"][AnnexIActivity]",Submission!$O:$O,Submission!$H:$N,""))</f>
        <v/>
      </c>
      <c r="D209" s="364"/>
      <c r="E209" s="274" t="str">
        <f>_xlfn.CONCAT(_xlfn.XLOOKUP("[S06_InstallationsVerificationReportsIssueDetail]["&amp;1+ROW(B209)-ROW($B$133)&amp;"][TypeOfIssue]",Submission!$O:$O,Submission!$H:$N,""))</f>
        <v/>
      </c>
      <c r="F209" s="364"/>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4" t="str">
        <f>_xlfn.CONCAT(_xlfn.XLOOKUP("[S06_InstallationsVerificationReportsIssueDetail]["&amp;1+ROW(B210)-ROW($B$133)&amp;"][AnnexIActivity]",Submission!$O:$O,Submission!$H:$N,""))</f>
        <v/>
      </c>
      <c r="D210" s="364"/>
      <c r="E210" s="274" t="str">
        <f>_xlfn.CONCAT(_xlfn.XLOOKUP("[S06_InstallationsVerificationReportsIssueDetail]["&amp;1+ROW(B210)-ROW($B$133)&amp;"][TypeOfIssue]",Submission!$O:$O,Submission!$H:$N,""))</f>
        <v/>
      </c>
      <c r="F210" s="364"/>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4" t="str">
        <f>_xlfn.CONCAT(_xlfn.XLOOKUP("[S06_InstallationsVerificationReportsIssueDetail]["&amp;1+ROW(B211)-ROW($B$133)&amp;"][AnnexIActivity]",Submission!$O:$O,Submission!$H:$N,""))</f>
        <v/>
      </c>
      <c r="D211" s="364"/>
      <c r="E211" s="274" t="str">
        <f>_xlfn.CONCAT(_xlfn.XLOOKUP("[S06_InstallationsVerificationReportsIssueDetail]["&amp;1+ROW(B211)-ROW($B$133)&amp;"][TypeOfIssue]",Submission!$O:$O,Submission!$H:$N,""))</f>
        <v/>
      </c>
      <c r="F211" s="364"/>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4" t="str">
        <f>_xlfn.CONCAT(_xlfn.XLOOKUP("[S06_InstallationsVerificationReportsIssueDetail]["&amp;1+ROW(B212)-ROW($B$133)&amp;"][AnnexIActivity]",Submission!$O:$O,Submission!$H:$N,""))</f>
        <v/>
      </c>
      <c r="D212" s="364"/>
      <c r="E212" s="274" t="str">
        <f>_xlfn.CONCAT(_xlfn.XLOOKUP("[S06_InstallationsVerificationReportsIssueDetail]["&amp;1+ROW(B212)-ROW($B$133)&amp;"][TypeOfIssue]",Submission!$O:$O,Submission!$H:$N,""))</f>
        <v/>
      </c>
      <c r="F212" s="364"/>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4" t="str">
        <f>_xlfn.CONCAT(_xlfn.XLOOKUP("[S06_InstallationsVerificationReportsIssueDetail]["&amp;1+ROW(B213)-ROW($B$133)&amp;"][AnnexIActivity]",Submission!$O:$O,Submission!$H:$N,""))</f>
        <v/>
      </c>
      <c r="D213" s="364"/>
      <c r="E213" s="274" t="str">
        <f>_xlfn.CONCAT(_xlfn.XLOOKUP("[S06_InstallationsVerificationReportsIssueDetail]["&amp;1+ROW(B213)-ROW($B$133)&amp;"][TypeOfIssue]",Submission!$O:$O,Submission!$H:$N,""))</f>
        <v/>
      </c>
      <c r="F213" s="364"/>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4" t="str">
        <f>_xlfn.CONCAT(_xlfn.XLOOKUP("[S06_InstallationsVerificationReportsIssueDetail]["&amp;1+ROW(B214)-ROW($B$133)&amp;"][AnnexIActivity]",Submission!$O:$O,Submission!$H:$N,""))</f>
        <v/>
      </c>
      <c r="D214" s="364"/>
      <c r="E214" s="274" t="str">
        <f>_xlfn.CONCAT(_xlfn.XLOOKUP("[S06_InstallationsVerificationReportsIssueDetail]["&amp;1+ROW(B214)-ROW($B$133)&amp;"][TypeOfIssue]",Submission!$O:$O,Submission!$H:$N,""))</f>
        <v/>
      </c>
      <c r="F214" s="364"/>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4" t="str">
        <f>_xlfn.CONCAT(_xlfn.XLOOKUP("[S06_InstallationsVerificationReportsIssueDetail]["&amp;1+ROW(B215)-ROW($B$133)&amp;"][AnnexIActivity]",Submission!$O:$O,Submission!$H:$N,""))</f>
        <v/>
      </c>
      <c r="D215" s="364"/>
      <c r="E215" s="274" t="str">
        <f>_xlfn.CONCAT(_xlfn.XLOOKUP("[S06_InstallationsVerificationReportsIssueDetail]["&amp;1+ROW(B215)-ROW($B$133)&amp;"][TypeOfIssue]",Submission!$O:$O,Submission!$H:$N,""))</f>
        <v/>
      </c>
      <c r="F215" s="364"/>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4" t="str">
        <f>_xlfn.CONCAT(_xlfn.XLOOKUP("[S06_InstallationsVerificationReportsIssueDetail]["&amp;1+ROW(B216)-ROW($B$133)&amp;"][AnnexIActivity]",Submission!$O:$O,Submission!$H:$N,""))</f>
        <v/>
      </c>
      <c r="D216" s="364"/>
      <c r="E216" s="274" t="str">
        <f>_xlfn.CONCAT(_xlfn.XLOOKUP("[S06_InstallationsVerificationReportsIssueDetail]["&amp;1+ROW(B216)-ROW($B$133)&amp;"][TypeOfIssue]",Submission!$O:$O,Submission!$H:$N,""))</f>
        <v/>
      </c>
      <c r="F216" s="364"/>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4" t="str">
        <f>_xlfn.CONCAT(_xlfn.XLOOKUP("[S06_InstallationsVerificationReportsIssueDetail]["&amp;1+ROW(B217)-ROW($B$133)&amp;"][AnnexIActivity]",Submission!$O:$O,Submission!$H:$N,""))</f>
        <v/>
      </c>
      <c r="D217" s="364"/>
      <c r="E217" s="274" t="str">
        <f>_xlfn.CONCAT(_xlfn.XLOOKUP("[S06_InstallationsVerificationReportsIssueDetail]["&amp;1+ROW(B217)-ROW($B$133)&amp;"][TypeOfIssue]",Submission!$O:$O,Submission!$H:$N,""))</f>
        <v/>
      </c>
      <c r="F217" s="364"/>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4" t="str">
        <f>_xlfn.CONCAT(_xlfn.XLOOKUP("[S06_InstallationsVerificationReportsIssueDetail]["&amp;1+ROW(B218)-ROW($B$133)&amp;"][AnnexIActivity]",Submission!$O:$O,Submission!$H:$N,""))</f>
        <v/>
      </c>
      <c r="D218" s="364"/>
      <c r="E218" s="274" t="str">
        <f>_xlfn.CONCAT(_xlfn.XLOOKUP("[S06_InstallationsVerificationReportsIssueDetail]["&amp;1+ROW(B218)-ROW($B$133)&amp;"][TypeOfIssue]",Submission!$O:$O,Submission!$H:$N,""))</f>
        <v/>
      </c>
      <c r="F218" s="364"/>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4" t="str">
        <f>_xlfn.CONCAT(_xlfn.XLOOKUP("[S06_InstallationsVerificationReportsIssueDetail]["&amp;1+ROW(B219)-ROW($B$133)&amp;"][AnnexIActivity]",Submission!$O:$O,Submission!$H:$N,""))</f>
        <v/>
      </c>
      <c r="D219" s="364"/>
      <c r="E219" s="274" t="str">
        <f>_xlfn.CONCAT(_xlfn.XLOOKUP("[S06_InstallationsVerificationReportsIssueDetail]["&amp;1+ROW(B219)-ROW($B$133)&amp;"][TypeOfIssue]",Submission!$O:$O,Submission!$H:$N,""))</f>
        <v/>
      </c>
      <c r="F219" s="364"/>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4" t="str">
        <f>_xlfn.CONCAT(_xlfn.XLOOKUP("[S06_InstallationsVerificationReportsIssueDetail]["&amp;1+ROW(B220)-ROW($B$133)&amp;"][AnnexIActivity]",Submission!$O:$O,Submission!$H:$N,""))</f>
        <v/>
      </c>
      <c r="D220" s="364"/>
      <c r="E220" s="274" t="str">
        <f>_xlfn.CONCAT(_xlfn.XLOOKUP("[S06_InstallationsVerificationReportsIssueDetail]["&amp;1+ROW(B220)-ROW($B$133)&amp;"][TypeOfIssue]",Submission!$O:$O,Submission!$H:$N,""))</f>
        <v/>
      </c>
      <c r="F220" s="364"/>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4" t="str">
        <f>_xlfn.CONCAT(_xlfn.XLOOKUP("[S06_InstallationsVerificationReportsIssueDetail]["&amp;1+ROW(B221)-ROW($B$133)&amp;"][AnnexIActivity]",Submission!$O:$O,Submission!$H:$N,""))</f>
        <v/>
      </c>
      <c r="D221" s="364"/>
      <c r="E221" s="274" t="str">
        <f>_xlfn.CONCAT(_xlfn.XLOOKUP("[S06_InstallationsVerificationReportsIssueDetail]["&amp;1+ROW(B221)-ROW($B$133)&amp;"][TypeOfIssue]",Submission!$O:$O,Submission!$H:$N,""))</f>
        <v/>
      </c>
      <c r="F221" s="364"/>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4" t="str">
        <f>_xlfn.CONCAT(_xlfn.XLOOKUP("[S06_InstallationsVerificationReportsIssueDetail]["&amp;1+ROW(B222)-ROW($B$133)&amp;"][AnnexIActivity]",Submission!$O:$O,Submission!$H:$N,""))</f>
        <v/>
      </c>
      <c r="D222" s="364"/>
      <c r="E222" s="274" t="str">
        <f>_xlfn.CONCAT(_xlfn.XLOOKUP("[S06_InstallationsVerificationReportsIssueDetail]["&amp;1+ROW(B222)-ROW($B$133)&amp;"][TypeOfIssue]",Submission!$O:$O,Submission!$H:$N,""))</f>
        <v/>
      </c>
      <c r="F222" s="364"/>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79" t="s">
        <v>1048</v>
      </c>
      <c r="D224" s="280"/>
      <c r="E224" s="280"/>
      <c r="F224" s="280"/>
      <c r="G224" s="280"/>
      <c r="H224" s="280"/>
      <c r="I224" s="280"/>
    </row>
    <row r="225" spans="1:9" ht="15.9" customHeight="1" x14ac:dyDescent="0.3">
      <c r="A225" s="13"/>
    </row>
    <row r="226" spans="1:9" ht="15.9" customHeight="1" x14ac:dyDescent="0.3">
      <c r="A226" s="12" t="s">
        <v>382</v>
      </c>
      <c r="B226" s="338" t="s">
        <v>1049</v>
      </c>
      <c r="C226" s="308"/>
      <c r="D226" s="308"/>
      <c r="E226" s="308"/>
      <c r="F226" s="308"/>
      <c r="G226" s="308"/>
      <c r="H226" s="345"/>
      <c r="I226" s="41" t="str">
        <f>_xlfn.CONCAT(_xlfn.XLOOKUP("[InstallationsVerificationReportChecks][0][InstallationsVerificationReportChecks]",Submission!$O:$O,Submission!$H:$N,""))</f>
        <v/>
      </c>
    </row>
    <row r="227" spans="1:9" ht="18" customHeight="1" x14ac:dyDescent="0.3">
      <c r="A227" s="12"/>
      <c r="B227" s="275" t="s">
        <v>1050</v>
      </c>
      <c r="C227" s="276"/>
      <c r="D227" s="276"/>
      <c r="E227" s="276"/>
      <c r="F227" s="276"/>
      <c r="G227" s="276"/>
      <c r="H227" s="276"/>
      <c r="I227" s="276"/>
    </row>
    <row r="228" spans="1:9" ht="15.9" customHeight="1" x14ac:dyDescent="0.3">
      <c r="C228" s="317" t="s">
        <v>1051</v>
      </c>
      <c r="D228" s="370"/>
      <c r="E228" s="370"/>
      <c r="F228" s="370"/>
      <c r="G228" s="370"/>
      <c r="H228" s="370"/>
      <c r="I228" s="318"/>
    </row>
    <row r="229" spans="1:9" s="58" customFormat="1" ht="27.6" customHeight="1" x14ac:dyDescent="0.3">
      <c r="A229" s="75"/>
      <c r="C229" s="249" t="s">
        <v>1052</v>
      </c>
      <c r="D229" s="257"/>
      <c r="E229" s="257"/>
      <c r="F229" s="250"/>
      <c r="G229" s="133" t="str">
        <f>_xlfn.CONCAT(_xlfn.XLOOKUP("[S06_InstallationsVerificationReportChecksDetail1][1][PercentageShare]",Submission!$O:$O,Submission!$H:$N,""))</f>
        <v>1</v>
      </c>
      <c r="H229" s="426"/>
      <c r="I229" s="427"/>
    </row>
    <row r="230" spans="1:9" s="58" customFormat="1" ht="27.6" customHeight="1" x14ac:dyDescent="0.3">
      <c r="C230" s="249" t="s">
        <v>1053</v>
      </c>
      <c r="D230" s="257"/>
      <c r="E230" s="257"/>
      <c r="F230" s="250"/>
      <c r="G230" s="133" t="str">
        <f>_xlfn.CONCAT(_xlfn.XLOOKUP("[S06_InstallationsVerificationReportChecksDetail1][2][PercentageShare]",Submission!$O:$O,Submission!$H:$N,""))</f>
        <v>0.3</v>
      </c>
      <c r="H230" s="426"/>
      <c r="I230" s="427"/>
    </row>
    <row r="231" spans="1:9" s="58" customFormat="1" ht="27.6" customHeight="1" x14ac:dyDescent="0.3">
      <c r="C231" s="249" t="s">
        <v>1054</v>
      </c>
      <c r="D231" s="257"/>
      <c r="E231" s="257"/>
      <c r="F231" s="250"/>
      <c r="G231" s="133" t="str">
        <f>_xlfn.CONCAT(_xlfn.XLOOKUP("[S06_InstallationsVerificationReportChecksDetail1][3][PercentageShare]",Submission!$O:$O,Submission!$H:$N,""))</f>
        <v>0.1</v>
      </c>
      <c r="H231" s="426"/>
      <c r="I231" s="427"/>
    </row>
    <row r="232" spans="1:9" s="58" customFormat="1" ht="27.6" customHeight="1" x14ac:dyDescent="0.3">
      <c r="C232" s="249" t="s">
        <v>1055</v>
      </c>
      <c r="D232" s="257"/>
      <c r="E232" s="257"/>
      <c r="F232" s="250"/>
      <c r="G232" s="133" t="str">
        <f>_xlfn.CONCAT(_xlfn.XLOOKUP("[S06_InstallationsVerificationReportChecksDetail1][4][PercentageShare]",Submission!$O:$O,Submission!$H:$N,""))</f>
        <v>0.3</v>
      </c>
      <c r="H232" s="255" t="str">
        <f>_xlfn.CONCAT(_xlfn.XLOOKUP("[S06_InstallationsVerificationReportChecksDetail1][4][FurtherInformation]",Submission!$O:$O,Submission!$H:$N,""))</f>
        <v>Some Emission Reports have been cross-checked with Verification Reports and Improvement Reports or with historical data. Further, data gained from Emission Reports has been partly cross-checked with data from the Czech Hydrometeorological Institute (calculation of emissions from CRF categories).</v>
      </c>
      <c r="I232" s="256"/>
    </row>
    <row r="233" spans="1:9" s="58" customFormat="1" ht="57.6" customHeight="1" x14ac:dyDescent="0.3">
      <c r="C233" s="249" t="s">
        <v>1056</v>
      </c>
      <c r="D233" s="257"/>
      <c r="E233" s="257"/>
      <c r="F233" s="250"/>
      <c r="G233" s="133" t="str">
        <f>_xlfn.CONCAT(_xlfn.XLOOKUP("[S06_InstallationsVerificationReportChecksDetail1][5][PercentageShare]",Submission!$O:$O,Submission!$H:$N,""))</f>
        <v>0.3</v>
      </c>
      <c r="H233" s="129" t="str">
        <f>_xlfn.CONCAT(_xlfn.XLOOKUP("[S06_InstallationsVerificationReportChecksDetail1][5][SelectingCriteria]",Submission!$O:$O,Submission!$H:$N,""))</f>
        <v>Risk based assessment</v>
      </c>
      <c r="I233" s="130" t="str">
        <f>_xlfn.CONCAT(_xlfn.XLOOKUP("[S06_InstallationsVerificationReportChecksDetail1][5][FurtherInformation]",Submission!$O:$O,Submission!$H:$N,""))</f>
        <v>Risk based assessment - checks on reports with inconsistencies found during previons checks or based on findings during checks of AER. Focus on installations with the highest amount of emissions and on the biggest source streams.</v>
      </c>
    </row>
    <row r="234" spans="1:9" s="58" customFormat="1" ht="27.6" customHeight="1" x14ac:dyDescent="0.3">
      <c r="C234" s="249" t="s">
        <v>1057</v>
      </c>
      <c r="D234" s="257"/>
      <c r="E234" s="257"/>
      <c r="F234" s="250"/>
      <c r="G234" s="135" t="str">
        <f>_xlfn.CONCAT(_xlfn.XLOOKUP("[S06_InstallationsVerificationReportChecksDetail2][1][NumberOfReports]",Submission!$O:$O,Submission!$H:$N,""))</f>
        <v>0</v>
      </c>
      <c r="H234" s="426"/>
      <c r="I234" s="427"/>
    </row>
    <row r="235" spans="1:9" s="58" customFormat="1" ht="27.6" customHeight="1" x14ac:dyDescent="0.3">
      <c r="C235" s="249" t="s">
        <v>1058</v>
      </c>
      <c r="D235" s="257"/>
      <c r="E235" s="257"/>
      <c r="F235" s="250"/>
      <c r="G235" s="135" t="str">
        <f>_xlfn.CONCAT(_xlfn.XLOOKUP("[S06_InstallationsVerificationReportChecksDetail2][2][NumberOfReports]",Submission!$O:$O,Submission!$H:$N,""))</f>
        <v>0</v>
      </c>
      <c r="H235" s="255" t="str">
        <f>_xlfn.CONCAT(_xlfn.XLOOKUP("[S06_InstallationsVerificationReportChecksDetail2][2][FurtherInformation]",Submission!$O:$O,Submission!$H:$N,""))</f>
        <v/>
      </c>
      <c r="I235" s="256"/>
    </row>
    <row r="236" spans="1:9" s="58" customFormat="1" ht="27.6" customHeight="1" x14ac:dyDescent="0.3">
      <c r="C236" s="249" t="s">
        <v>1059</v>
      </c>
      <c r="D236" s="257"/>
      <c r="E236" s="257"/>
      <c r="F236" s="250"/>
      <c r="G236" s="258" t="str">
        <f>_xlfn.CONCAT(_xlfn.XLOOKUP("[S06_InstallationsVerificationReportChecksDetail3][1][ActionsTaken]",Submission!$O:$O,Submission!$H:$N,""))</f>
        <v>Not applicable</v>
      </c>
      <c r="H236" s="353"/>
      <c r="I236" s="260"/>
    </row>
    <row r="237" spans="1:9" s="58" customFormat="1" ht="27.6" customHeight="1" x14ac:dyDescent="0.3">
      <c r="C237" s="249" t="s">
        <v>1060</v>
      </c>
      <c r="D237" s="257"/>
      <c r="E237" s="257"/>
      <c r="F237" s="250"/>
      <c r="G237" s="258" t="str">
        <f>_xlfn.CONCAT(_xlfn.XLOOKUP("[S06_InstallationsVerificationReportChecksDetail3][2][ActionsTaken]",Submission!$O:$O,Submission!$H:$N,""))</f>
        <v>Not applicable</v>
      </c>
      <c r="H237" s="353"/>
      <c r="I237" s="260"/>
    </row>
    <row r="238" spans="1:9" ht="15.9" customHeight="1" x14ac:dyDescent="0.3">
      <c r="A238" s="13"/>
      <c r="C238" s="397" t="s">
        <v>1061</v>
      </c>
      <c r="D238" s="398"/>
      <c r="E238" s="398"/>
      <c r="F238" s="398"/>
      <c r="G238" s="398"/>
      <c r="H238" s="398"/>
      <c r="I238" s="398"/>
    </row>
    <row r="239" spans="1:9" ht="15.9" customHeight="1" x14ac:dyDescent="0.3"/>
    <row r="240" spans="1:9" ht="17.100000000000001" customHeight="1" x14ac:dyDescent="0.3">
      <c r="A240" s="12" t="s">
        <v>387</v>
      </c>
      <c r="B240" s="338" t="s">
        <v>1062</v>
      </c>
      <c r="C240" s="308"/>
      <c r="D240" s="308"/>
      <c r="E240" s="308"/>
      <c r="F240" s="308"/>
      <c r="G240" s="308"/>
      <c r="H240" s="345"/>
      <c r="I240" s="41" t="str">
        <f>_xlfn.CONCAT(_xlfn.XLOOKUP("[InstallationVisitsWaivedHighEmitters][0][InstallationVisitsWaivedHighEmitters]",Submission!$O:$O,Submission!$H:$N,""))</f>
        <v>No</v>
      </c>
    </row>
    <row r="241" spans="1:9" ht="18.600000000000001" customHeight="1" x14ac:dyDescent="0.3">
      <c r="A241" s="12"/>
      <c r="B241" s="275" t="s">
        <v>1063</v>
      </c>
      <c r="C241" s="276"/>
      <c r="D241" s="276"/>
      <c r="E241" s="276"/>
      <c r="F241" s="276"/>
      <c r="G241" s="276"/>
      <c r="H241" s="276"/>
      <c r="I241" s="276"/>
    </row>
    <row r="242" spans="1:9" ht="32.4" customHeight="1" x14ac:dyDescent="0.3">
      <c r="C242" s="314" t="s">
        <v>1064</v>
      </c>
      <c r="D242" s="334"/>
      <c r="E242" s="314" t="s">
        <v>879</v>
      </c>
      <c r="F242" s="315"/>
      <c r="G242" s="316"/>
      <c r="H242" s="314" t="s">
        <v>1045</v>
      </c>
      <c r="I242" s="316"/>
    </row>
    <row r="243" spans="1:9" ht="15.9" customHeight="1" x14ac:dyDescent="0.3">
      <c r="C243" s="419" t="str">
        <f>_xlfn.CONCAT(_xlfn.XLOOKUP("[S06_InstallationsVisitsWaivedHighEmittersDetail][1][ConditionForWaiving]",Submission!$O:$O,Submission!$H:$N,""))</f>
        <v/>
      </c>
      <c r="D243" s="421"/>
      <c r="E243" s="274" t="str">
        <f>_xlfn.CONCAT(_xlfn.XLOOKUP("[S06_InstallationsVisitsWaivedHighEmittersDetail][1][AnnexIActivity]",Submission!$O:$O,Submission!$H:$N,""))</f>
        <v/>
      </c>
      <c r="F243" s="353"/>
      <c r="G243" s="260"/>
      <c r="H243" s="335" t="str">
        <f>_xlfn.CONCAT(_xlfn.XLOOKUP("[S06_InstallationsVisitsWaivedHighEmittersDetail][1][NumberOfInstallations]",Submission!$O:$O,Submission!$H:$N,""))</f>
        <v/>
      </c>
      <c r="I243" s="337"/>
    </row>
    <row r="244" spans="1:9" ht="15.9" customHeight="1" x14ac:dyDescent="0.3">
      <c r="A244" s="13"/>
      <c r="C244" s="419" t="str">
        <f>_xlfn.CONCAT(_xlfn.XLOOKUP("[S06_InstallationsVisitsWaivedHighEmittersDetail][2][ConditionForWaiving]",Submission!$O:$O,Submission!$H:$N,""))</f>
        <v/>
      </c>
      <c r="D244" s="421"/>
      <c r="E244" s="274" t="str">
        <f>_xlfn.CONCAT(_xlfn.XLOOKUP("[S06_InstallationsVisitsWaivedHighEmittersDetail][2][AnnexIActivity]",Submission!$O:$O,Submission!$H:$N,""))</f>
        <v/>
      </c>
      <c r="F244" s="353"/>
      <c r="G244" s="260"/>
      <c r="H244" s="335" t="str">
        <f>_xlfn.CONCAT(_xlfn.XLOOKUP("[S06_InstallationsVisitsWaivedHighEmittersDetail][2][NumberOfInstallations]",Submission!$O:$O,Submission!$H:$N,""))</f>
        <v/>
      </c>
      <c r="I244" s="337"/>
    </row>
    <row r="245" spans="1:9" ht="15.9" customHeight="1" x14ac:dyDescent="0.3">
      <c r="A245" s="13"/>
      <c r="C245" s="419" t="str">
        <f>_xlfn.CONCAT(_xlfn.XLOOKUP("[S06_InstallationsVisitsWaivedHighEmittersDetail][3][ConditionForWaiving]",Submission!$O:$O,Submission!$H:$N,""))</f>
        <v/>
      </c>
      <c r="D245" s="421"/>
      <c r="E245" s="274" t="str">
        <f>_xlfn.CONCAT(_xlfn.XLOOKUP("[S06_InstallationsVisitsWaivedHighEmittersDetail][3][AnnexIActivity]",Submission!$O:$O,Submission!$H:$N,""))</f>
        <v/>
      </c>
      <c r="F245" s="353"/>
      <c r="G245" s="260"/>
      <c r="H245" s="440" t="str">
        <f>_xlfn.CONCAT(_xlfn.XLOOKUP("[S06_InstallationsVisitsWaivedHighEmittersDetail][3][NumberOfInstallations]",Submission!$O:$O,Submission!$H:$N,""))</f>
        <v/>
      </c>
      <c r="I245" s="441"/>
    </row>
    <row r="246" spans="1:9" ht="15.9" customHeight="1" x14ac:dyDescent="0.3">
      <c r="A246" s="13"/>
      <c r="C246" s="419" t="str">
        <f>_xlfn.CONCAT(_xlfn.XLOOKUP("[S06_InstallationsVisitsWaivedHighEmittersDetail][4][ConditionForWaiving]",Submission!$O:$O,Submission!$H:$N,""))</f>
        <v/>
      </c>
      <c r="D246" s="421"/>
      <c r="E246" s="274" t="str">
        <f>_xlfn.CONCAT(_xlfn.XLOOKUP("[S06_InstallationsVisitsWaivedHighEmittersDetail][4][AnnexIActivity]",Submission!$O:$O,Submission!$H:$N,""))</f>
        <v/>
      </c>
      <c r="F246" s="353"/>
      <c r="G246" s="260"/>
      <c r="H246" s="335" t="str">
        <f>_xlfn.CONCAT(_xlfn.XLOOKUP("[S06_InstallationsVisitsWaivedHighEmittersDetail][4][NumberOfInstallations]",Submission!$O:$O,Submission!$H:$N,""))</f>
        <v/>
      </c>
      <c r="I246" s="337"/>
    </row>
    <row r="247" spans="1:9" ht="15.9" hidden="1" customHeight="1" outlineLevel="1" x14ac:dyDescent="0.3">
      <c r="A247" s="13"/>
      <c r="C247" s="419" t="str">
        <f>_xlfn.CONCAT(_xlfn.XLOOKUP("[S06_InstallationsVisitsWaivedHighEmittersDetail][5][ConditionForWaiving]",Submission!$O:$O,Submission!$H:$N,""))</f>
        <v/>
      </c>
      <c r="D247" s="421"/>
      <c r="E247" s="274" t="str">
        <f>_xlfn.CONCAT(_xlfn.XLOOKUP("[S06_InstallationsVisitsWaivedHighEmittersDetail][5][AnnexIActivity]",Submission!$O:$O,Submission!$H:$N,""))</f>
        <v/>
      </c>
      <c r="F247" s="353"/>
      <c r="G247" s="260"/>
      <c r="H247" s="440" t="str">
        <f>_xlfn.CONCAT(_xlfn.XLOOKUP("[S06_InstallationsVisitsWaivedHighEmittersDetail][5][NumberOfInstallations]",Submission!$O:$O,Submission!$H:$N,""))</f>
        <v/>
      </c>
      <c r="I247" s="441"/>
    </row>
    <row r="248" spans="1:9" ht="15.9" hidden="1" customHeight="1" outlineLevel="1" x14ac:dyDescent="0.3">
      <c r="C248" s="419" t="str">
        <f>_xlfn.CONCAT(_xlfn.XLOOKUP("[S06_InstallationsVisitsWaivedHighEmittersDetail][6][ConditionForWaiving]",Submission!$O:$O,Submission!$H:$N,""))</f>
        <v/>
      </c>
      <c r="D248" s="421"/>
      <c r="E248" s="274" t="str">
        <f>_xlfn.CONCAT(_xlfn.XLOOKUP("[S06_InstallationsVisitsWaivedHighEmittersDetail][6][AnnexIActivity]",Submission!$O:$O,Submission!$H:$N,""))</f>
        <v/>
      </c>
      <c r="F248" s="353"/>
      <c r="G248" s="260"/>
      <c r="H248" s="335" t="str">
        <f>_xlfn.CONCAT(_xlfn.XLOOKUP("[S06_InstallationsVisitsWaivedHighEmittersDetail][6][NumberOfInstallations]",Submission!$O:$O,Submission!$H:$N,""))</f>
        <v/>
      </c>
      <c r="I248" s="337"/>
    </row>
    <row r="249" spans="1:9" ht="15.9" hidden="1" customHeight="1" outlineLevel="1" x14ac:dyDescent="0.3">
      <c r="A249" s="13"/>
      <c r="C249" s="419" t="str">
        <f>_xlfn.CONCAT(_xlfn.XLOOKUP("[S06_InstallationsVisitsWaivedHighEmittersDetail][7][ConditionForWaiving]",Submission!$O:$O,Submission!$H:$N,""))</f>
        <v/>
      </c>
      <c r="D249" s="421"/>
      <c r="E249" s="274" t="str">
        <f>_xlfn.CONCAT(_xlfn.XLOOKUP("[S06_InstallationsVisitsWaivedHighEmittersDetail][7][AnnexIActivity]",Submission!$O:$O,Submission!$H:$N,""))</f>
        <v/>
      </c>
      <c r="F249" s="353"/>
      <c r="G249" s="260"/>
      <c r="H249" s="335" t="str">
        <f>_xlfn.CONCAT(_xlfn.XLOOKUP("[S06_InstallationsVisitsWaivedHighEmittersDetail][7][NumberOfInstallations]",Submission!$O:$O,Submission!$H:$N,""))</f>
        <v/>
      </c>
      <c r="I249" s="337"/>
    </row>
    <row r="250" spans="1:9" ht="15.9" hidden="1" customHeight="1" outlineLevel="1" x14ac:dyDescent="0.3">
      <c r="A250" s="13"/>
      <c r="C250" s="419" t="str">
        <f>_xlfn.CONCAT(_xlfn.XLOOKUP("[S06_InstallationsVisitsWaivedHighEmittersDetail][8][ConditionForWaiving]",Submission!$O:$O,Submission!$H:$N,""))</f>
        <v/>
      </c>
      <c r="D250" s="421"/>
      <c r="E250" s="274" t="str">
        <f>_xlfn.CONCAT(_xlfn.XLOOKUP("[S06_InstallationsVisitsWaivedHighEmittersDetail][8][AnnexIActivity]",Submission!$O:$O,Submission!$H:$N,""))</f>
        <v/>
      </c>
      <c r="F250" s="353"/>
      <c r="G250" s="260"/>
      <c r="H250" s="440" t="str">
        <f>_xlfn.CONCAT(_xlfn.XLOOKUP("[S06_InstallationsVisitsWaivedHighEmittersDetail][8][NumberOfInstallations]",Submission!$O:$O,Submission!$H:$N,""))</f>
        <v/>
      </c>
      <c r="I250" s="441"/>
    </row>
    <row r="251" spans="1:9" ht="15.9" hidden="1" customHeight="1" outlineLevel="1" x14ac:dyDescent="0.3">
      <c r="A251" s="13"/>
      <c r="C251" s="419" t="str">
        <f>_xlfn.CONCAT(_xlfn.XLOOKUP("[S06_InstallationsVisitsWaivedHighEmittersDetail][9][ConditionForWaiving]",Submission!$O:$O,Submission!$H:$N,""))</f>
        <v/>
      </c>
      <c r="D251" s="421"/>
      <c r="E251" s="274" t="str">
        <f>_xlfn.CONCAT(_xlfn.XLOOKUP("[S06_InstallationsVisitsWaivedHighEmittersDetail][9][AnnexIActivity]",Submission!$O:$O,Submission!$H:$N,""))</f>
        <v/>
      </c>
      <c r="F251" s="353"/>
      <c r="G251" s="260"/>
      <c r="H251" s="335" t="str">
        <f>_xlfn.CONCAT(_xlfn.XLOOKUP("[S06_InstallationsVisitsWaivedHighEmittersDetail][9][NumberOfInstallations]",Submission!$O:$O,Submission!$H:$N,""))</f>
        <v/>
      </c>
      <c r="I251" s="337"/>
    </row>
    <row r="252" spans="1:9" ht="15.9" hidden="1" customHeight="1" outlineLevel="1" x14ac:dyDescent="0.3">
      <c r="A252" s="13"/>
      <c r="C252" s="419" t="str">
        <f>_xlfn.CONCAT(_xlfn.XLOOKUP("[S06_InstallationsVisitsWaivedHighEmittersDetail][10][ConditionForWaiving]",Submission!$O:$O,Submission!$H:$N,""))</f>
        <v/>
      </c>
      <c r="D252" s="421"/>
      <c r="E252" s="274" t="str">
        <f>_xlfn.CONCAT(_xlfn.XLOOKUP("[S06_InstallationsVisitsWaivedHighEmittersDetail][10][AnnexIActivity]",Submission!$O:$O,Submission!$H:$N,""))</f>
        <v/>
      </c>
      <c r="F252" s="353"/>
      <c r="G252" s="260"/>
      <c r="H252" s="440" t="str">
        <f>_xlfn.CONCAT(_xlfn.XLOOKUP("[S06_InstallationsVisitsWaivedHighEmittersDetail][10][NumberOfInstallations]",Submission!$O:$O,Submission!$H:$N,""))</f>
        <v/>
      </c>
      <c r="I252" s="441"/>
    </row>
    <row r="253" spans="1:9" ht="15.9" hidden="1" customHeight="1" outlineLevel="1" x14ac:dyDescent="0.3">
      <c r="C253" s="419" t="str">
        <f>_xlfn.CONCAT(_xlfn.XLOOKUP("[S06_InstallationsVisitsWaivedHighEmittersDetail][11][ConditionForWaiving]",Submission!$O:$O,Submission!$H:$N,""))</f>
        <v/>
      </c>
      <c r="D253" s="421"/>
      <c r="E253" s="274" t="str">
        <f>_xlfn.CONCAT(_xlfn.XLOOKUP("[S06_InstallationsVisitsWaivedHighEmittersDetail][11][AnnexIActivity]",Submission!$O:$O,Submission!$H:$N,""))</f>
        <v/>
      </c>
      <c r="F253" s="353"/>
      <c r="G253" s="260"/>
      <c r="H253" s="335" t="str">
        <f>_xlfn.CONCAT(_xlfn.XLOOKUP("[S06_InstallationsVisitsWaivedHighEmittersDetail][11][NumberOfInstallations]",Submission!$O:$O,Submission!$H:$N,""))</f>
        <v/>
      </c>
      <c r="I253" s="337"/>
    </row>
    <row r="254" spans="1:9" ht="15.9" hidden="1" customHeight="1" outlineLevel="1" x14ac:dyDescent="0.3">
      <c r="A254" s="13"/>
      <c r="C254" s="419" t="str">
        <f>_xlfn.CONCAT(_xlfn.XLOOKUP("[S06_InstallationsVisitsWaivedHighEmittersDetail][12][ConditionForWaiving]",Submission!$O:$O,Submission!$H:$N,""))</f>
        <v/>
      </c>
      <c r="D254" s="421"/>
      <c r="E254" s="274" t="str">
        <f>_xlfn.CONCAT(_xlfn.XLOOKUP("[S06_InstallationsVisitsWaivedHighEmittersDetail][12][AnnexIActivity]",Submission!$O:$O,Submission!$H:$N,""))</f>
        <v/>
      </c>
      <c r="F254" s="353"/>
      <c r="G254" s="260"/>
      <c r="H254" s="335" t="str">
        <f>_xlfn.CONCAT(_xlfn.XLOOKUP("[S06_InstallationsVisitsWaivedHighEmittersDetail][12][NumberOfInstallations]",Submission!$O:$O,Submission!$H:$N,""))</f>
        <v/>
      </c>
      <c r="I254" s="337"/>
    </row>
    <row r="255" spans="1:9" ht="15.9" hidden="1" customHeight="1" outlineLevel="1" x14ac:dyDescent="0.3">
      <c r="A255" s="13"/>
      <c r="C255" s="419" t="str">
        <f>_xlfn.CONCAT(_xlfn.XLOOKUP("[S06_InstallationsVisitsWaivedHighEmittersDetail][13][ConditionForWaiving]",Submission!$O:$O,Submission!$H:$N,""))</f>
        <v/>
      </c>
      <c r="D255" s="421"/>
      <c r="E255" s="274" t="str">
        <f>_xlfn.CONCAT(_xlfn.XLOOKUP("[S06_InstallationsVisitsWaivedHighEmittersDetail][13][AnnexIActivity]",Submission!$O:$O,Submission!$H:$N,""))</f>
        <v/>
      </c>
      <c r="F255" s="353"/>
      <c r="G255" s="260"/>
      <c r="H255" s="440" t="str">
        <f>_xlfn.CONCAT(_xlfn.XLOOKUP("[S06_InstallationsVisitsWaivedHighEmittersDetail][13][NumberOfInstallations]",Submission!$O:$O,Submission!$H:$N,""))</f>
        <v/>
      </c>
      <c r="I255" s="441"/>
    </row>
    <row r="256" spans="1:9" ht="15.9" hidden="1" customHeight="1" outlineLevel="1" x14ac:dyDescent="0.3">
      <c r="A256" s="13"/>
      <c r="C256" s="419" t="str">
        <f>_xlfn.CONCAT(_xlfn.XLOOKUP("[S06_InstallationsVisitsWaivedHighEmittersDetail][14][ConditionForWaiving]",Submission!$O:$O,Submission!$H:$N,""))</f>
        <v/>
      </c>
      <c r="D256" s="421"/>
      <c r="E256" s="274" t="str">
        <f>_xlfn.CONCAT(_xlfn.XLOOKUP("[S06_InstallationsVisitsWaivedHighEmittersDetail][14][AnnexIActivity]",Submission!$O:$O,Submission!$H:$N,""))</f>
        <v/>
      </c>
      <c r="F256" s="353"/>
      <c r="G256" s="260"/>
      <c r="H256" s="335" t="str">
        <f>_xlfn.CONCAT(_xlfn.XLOOKUP("[S06_InstallationsVisitsWaivedHighEmittersDetail][14][NumberOfInstallations]",Submission!$O:$O,Submission!$H:$N,""))</f>
        <v/>
      </c>
      <c r="I256" s="337"/>
    </row>
    <row r="257" spans="1:9" ht="15.9" hidden="1" customHeight="1" outlineLevel="1" x14ac:dyDescent="0.3">
      <c r="A257" s="13"/>
      <c r="C257" s="419" t="str">
        <f>_xlfn.CONCAT(_xlfn.XLOOKUP("[S06_InstallationsVisitsWaivedHighEmittersDetail][15][ConditionForWaiving]",Submission!$O:$O,Submission!$H:$N,""))</f>
        <v/>
      </c>
      <c r="D257" s="421"/>
      <c r="E257" s="274" t="str">
        <f>_xlfn.CONCAT(_xlfn.XLOOKUP("[S06_InstallationsVisitsWaivedHighEmittersDetail][15][AnnexIActivity]",Submission!$O:$O,Submission!$H:$N,""))</f>
        <v/>
      </c>
      <c r="F257" s="353"/>
      <c r="G257" s="260"/>
      <c r="H257" s="440" t="str">
        <f>_xlfn.CONCAT(_xlfn.XLOOKUP("[S06_InstallationsVisitsWaivedHighEmittersDetail][15][NumberOfInstallations]",Submission!$O:$O,Submission!$H:$N,""))</f>
        <v/>
      </c>
      <c r="I257" s="441"/>
    </row>
    <row r="258" spans="1:9" ht="15.9" hidden="1" customHeight="1" outlineLevel="1" x14ac:dyDescent="0.3">
      <c r="C258" s="419" t="str">
        <f>_xlfn.CONCAT(_xlfn.XLOOKUP("[S06_InstallationsVisitsWaivedHighEmittersDetail][16][ConditionForWaiving]",Submission!$O:$O,Submission!$H:$N,""))</f>
        <v/>
      </c>
      <c r="D258" s="421"/>
      <c r="E258" s="274" t="str">
        <f>_xlfn.CONCAT(_xlfn.XLOOKUP("[S06_InstallationsVisitsWaivedHighEmittersDetail][16][AnnexIActivity]",Submission!$O:$O,Submission!$H:$N,""))</f>
        <v/>
      </c>
      <c r="F258" s="353"/>
      <c r="G258" s="260"/>
      <c r="H258" s="335" t="str">
        <f>_xlfn.CONCAT(_xlfn.XLOOKUP("[S06_InstallationsVisitsWaivedHighEmittersDetail][16][NumberOfInstallations]",Submission!$O:$O,Submission!$H:$N,""))</f>
        <v/>
      </c>
      <c r="I258" s="337"/>
    </row>
    <row r="259" spans="1:9" ht="15.9" hidden="1" customHeight="1" outlineLevel="1" x14ac:dyDescent="0.3">
      <c r="A259" s="13"/>
      <c r="C259" s="419" t="str">
        <f>_xlfn.CONCAT(_xlfn.XLOOKUP("[S06_InstallationsVisitsWaivedHighEmittersDetail][17][ConditionForWaiving]",Submission!$O:$O,Submission!$H:$N,""))</f>
        <v/>
      </c>
      <c r="D259" s="421"/>
      <c r="E259" s="274" t="str">
        <f>_xlfn.CONCAT(_xlfn.XLOOKUP("[S06_InstallationsVisitsWaivedHighEmittersDetail][17][AnnexIActivity]",Submission!$O:$O,Submission!$H:$N,""))</f>
        <v/>
      </c>
      <c r="F259" s="353"/>
      <c r="G259" s="260"/>
      <c r="H259" s="335" t="str">
        <f>_xlfn.CONCAT(_xlfn.XLOOKUP("[S06_InstallationsVisitsWaivedHighEmittersDetail][17][NumberOfInstallations]",Submission!$O:$O,Submission!$H:$N,""))</f>
        <v/>
      </c>
      <c r="I259" s="337"/>
    </row>
    <row r="260" spans="1:9" ht="15.9" hidden="1" customHeight="1" outlineLevel="1" x14ac:dyDescent="0.3">
      <c r="A260" s="13"/>
      <c r="C260" s="419" t="str">
        <f>_xlfn.CONCAT(_xlfn.XLOOKUP("[S06_InstallationsVisitsWaivedHighEmittersDetail][18][ConditionForWaiving]",Submission!$O:$O,Submission!$H:$N,""))</f>
        <v/>
      </c>
      <c r="D260" s="421"/>
      <c r="E260" s="274" t="str">
        <f>_xlfn.CONCAT(_xlfn.XLOOKUP("[S06_InstallationsVisitsWaivedHighEmittersDetail][18][AnnexIActivity]",Submission!$O:$O,Submission!$H:$N,""))</f>
        <v/>
      </c>
      <c r="F260" s="353"/>
      <c r="G260" s="260"/>
      <c r="H260" s="440" t="str">
        <f>_xlfn.CONCAT(_xlfn.XLOOKUP("[S06_InstallationsVisitsWaivedHighEmittersDetail][18][NumberOfInstallations]",Submission!$O:$O,Submission!$H:$N,""))</f>
        <v/>
      </c>
      <c r="I260" s="441"/>
    </row>
    <row r="261" spans="1:9" ht="15.9" hidden="1" customHeight="1" outlineLevel="1" x14ac:dyDescent="0.3">
      <c r="A261" s="13"/>
      <c r="C261" s="419" t="str">
        <f>_xlfn.CONCAT(_xlfn.XLOOKUP("[S06_InstallationsVisitsWaivedHighEmittersDetail][19][ConditionForWaiving]",Submission!$O:$O,Submission!$H:$N,""))</f>
        <v/>
      </c>
      <c r="D261" s="421"/>
      <c r="E261" s="274" t="str">
        <f>_xlfn.CONCAT(_xlfn.XLOOKUP("[S06_InstallationsVisitsWaivedHighEmittersDetail][19][AnnexIActivity]",Submission!$O:$O,Submission!$H:$N,""))</f>
        <v/>
      </c>
      <c r="F261" s="353"/>
      <c r="G261" s="260"/>
      <c r="H261" s="335" t="str">
        <f>_xlfn.CONCAT(_xlfn.XLOOKUP("[S06_InstallationsVisitsWaivedHighEmittersDetail][19][NumberOfInstallations]",Submission!$O:$O,Submission!$H:$N,""))</f>
        <v/>
      </c>
      <c r="I261" s="337"/>
    </row>
    <row r="262" spans="1:9" ht="15.9" hidden="1" customHeight="1" outlineLevel="1" x14ac:dyDescent="0.3">
      <c r="A262" s="13"/>
      <c r="C262" s="419" t="str">
        <f>_xlfn.CONCAT(_xlfn.XLOOKUP("[S06_InstallationsVisitsWaivedHighEmittersDetail][20][ConditionForWaiving]",Submission!$O:$O,Submission!$H:$N,""))</f>
        <v/>
      </c>
      <c r="D262" s="421"/>
      <c r="E262" s="274" t="str">
        <f>_xlfn.CONCAT(_xlfn.XLOOKUP("[S06_InstallationsVisitsWaivedHighEmittersDetail][20][AnnexIActivity]",Submission!$O:$O,Submission!$H:$N,""))</f>
        <v/>
      </c>
      <c r="F262" s="353"/>
      <c r="G262" s="260"/>
      <c r="H262" s="440" t="str">
        <f>_xlfn.CONCAT(_xlfn.XLOOKUP("[S06_InstallationsVisitsWaivedHighEmittersDetail][20][NumberOfInstallations]",Submission!$O:$O,Submission!$H:$N,""))</f>
        <v/>
      </c>
      <c r="I262" s="441"/>
    </row>
    <row r="263" spans="1:9" ht="15.9" customHeight="1" collapsed="1" x14ac:dyDescent="0.3">
      <c r="A263" s="13"/>
      <c r="B263" s="26" t="s">
        <v>1000</v>
      </c>
      <c r="C263" s="19"/>
      <c r="D263" s="11"/>
      <c r="E263" s="11"/>
      <c r="F263" s="11"/>
      <c r="G263" s="11"/>
      <c r="H263" s="11"/>
    </row>
    <row r="264" spans="1:9" ht="15.9" customHeight="1" x14ac:dyDescent="0.3">
      <c r="A264" s="13"/>
      <c r="C264" s="279" t="s">
        <v>1065</v>
      </c>
      <c r="D264" s="280"/>
      <c r="E264" s="280"/>
      <c r="F264" s="280"/>
      <c r="G264" s="280"/>
      <c r="H264" s="280"/>
      <c r="I264" s="280"/>
    </row>
    <row r="265" spans="1:9" ht="15.9" customHeight="1" x14ac:dyDescent="0.3">
      <c r="A265" s="13"/>
    </row>
    <row r="266" spans="1:9" ht="15.9" customHeight="1" x14ac:dyDescent="0.3">
      <c r="A266" s="13"/>
      <c r="B266" s="338" t="s">
        <v>1066</v>
      </c>
      <c r="C266" s="308"/>
      <c r="D266" s="308"/>
      <c r="E266" s="308"/>
      <c r="F266" s="308"/>
      <c r="G266" s="308"/>
      <c r="H266" s="345"/>
      <c r="I266" s="41" t="str">
        <f>_xlfn.CONCAT(_xlfn.XLOOKUP("[InstallationsVisitsWaivedLowEmitters][0][InstallationsVisitsWaivedLowEmitters]",Submission!$O:$O,Submission!$H:$N,""))</f>
        <v>No</v>
      </c>
    </row>
    <row r="267" spans="1:9" ht="18.600000000000001" customHeight="1" x14ac:dyDescent="0.3">
      <c r="B267" s="338" t="s">
        <v>1067</v>
      </c>
      <c r="C267" s="308"/>
      <c r="D267" s="308"/>
      <c r="E267" s="308"/>
      <c r="F267" s="308"/>
      <c r="G267" s="308"/>
      <c r="H267" s="308"/>
      <c r="I267" s="308"/>
    </row>
    <row r="268" spans="1:9" ht="15.9" customHeight="1" x14ac:dyDescent="0.3">
      <c r="B268" s="11"/>
      <c r="C268" s="317" t="s">
        <v>1068</v>
      </c>
      <c r="D268" s="370"/>
      <c r="E268" s="370"/>
      <c r="F268" s="370"/>
      <c r="G268" s="318"/>
      <c r="H268" s="351" t="str">
        <f>_xlfn.CONCAT(_xlfn.XLOOKUP("[InstallationsVisitsWaivedLowEmittersDetail][0][InstallationsVisitsWaivedLowEmittersDetail]",Submission!$O:$O,Submission!$H:$N,""))</f>
        <v/>
      </c>
      <c r="I268" s="352"/>
    </row>
    <row r="269" spans="1:9" ht="15.9" customHeight="1" x14ac:dyDescent="0.3">
      <c r="B269" s="11"/>
      <c r="C269" s="121"/>
      <c r="D269" s="122"/>
      <c r="E269" s="122"/>
      <c r="F269" s="122"/>
      <c r="G269" s="122"/>
      <c r="H269" s="121"/>
      <c r="I269" s="122"/>
    </row>
    <row r="270" spans="1:9" ht="17.100000000000001" customHeight="1" x14ac:dyDescent="0.3">
      <c r="A270" s="12" t="s">
        <v>397</v>
      </c>
      <c r="B270" s="338" t="s">
        <v>1069</v>
      </c>
      <c r="C270" s="308"/>
      <c r="D270" s="308"/>
      <c r="E270" s="308"/>
      <c r="F270" s="308"/>
      <c r="G270" s="308"/>
      <c r="H270" s="345"/>
      <c r="I270" s="41" t="str">
        <f>_xlfn.CONCAT(_xlfn.XLOOKUP("[VirtualVisitsInstallations][0][VirtualVisitsInstallations]",Submission!$O:$O,Submission!$H:$N,""))</f>
        <v>Yes</v>
      </c>
    </row>
    <row r="271" spans="1:9" ht="15.9" customHeight="1" x14ac:dyDescent="0.3">
      <c r="A271" s="12"/>
      <c r="B271" s="275" t="s">
        <v>1070</v>
      </c>
      <c r="C271" s="276"/>
      <c r="D271" s="276"/>
      <c r="E271" s="276"/>
      <c r="F271" s="276"/>
      <c r="G271" s="276"/>
      <c r="H271" s="276"/>
      <c r="I271" s="276"/>
    </row>
    <row r="272" spans="1:9" ht="16.2" customHeight="1" x14ac:dyDescent="0.3">
      <c r="A272" s="12"/>
      <c r="B272" s="15" t="s">
        <v>8</v>
      </c>
      <c r="C272" s="411" t="s">
        <v>1071</v>
      </c>
      <c r="D272" s="411"/>
      <c r="E272" s="411"/>
      <c r="F272" s="411"/>
      <c r="G272" s="411"/>
      <c r="H272" s="411"/>
      <c r="I272" s="411"/>
    </row>
    <row r="273" spans="1:9" ht="16.2" customHeight="1" x14ac:dyDescent="0.3">
      <c r="A273" s="12"/>
      <c r="B273" s="15" t="s">
        <v>8</v>
      </c>
      <c r="C273" s="411" t="s">
        <v>1072</v>
      </c>
      <c r="D273" s="411"/>
      <c r="E273" s="411"/>
      <c r="F273" s="411"/>
      <c r="G273" s="411"/>
      <c r="H273" s="411"/>
      <c r="I273" s="411"/>
    </row>
    <row r="274" spans="1:9" ht="16.2" customHeight="1" x14ac:dyDescent="0.3">
      <c r="A274" s="12"/>
      <c r="B274" s="15" t="s">
        <v>8</v>
      </c>
      <c r="C274" s="412" t="s">
        <v>1073</v>
      </c>
      <c r="D274" s="412"/>
      <c r="E274" s="412"/>
      <c r="F274" s="412"/>
      <c r="G274" s="412"/>
      <c r="H274" s="412"/>
      <c r="I274" s="412"/>
    </row>
    <row r="275" spans="1:9" ht="31.2" customHeight="1" x14ac:dyDescent="0.3">
      <c r="A275" s="12"/>
      <c r="B275" s="15"/>
      <c r="C275" s="46" t="s">
        <v>1074</v>
      </c>
      <c r="D275" s="317" t="s">
        <v>1075</v>
      </c>
      <c r="E275" s="329"/>
      <c r="F275" s="317" t="s">
        <v>1076</v>
      </c>
      <c r="G275" s="329"/>
      <c r="H275" s="317" t="s">
        <v>1077</v>
      </c>
      <c r="I275" s="329"/>
    </row>
    <row r="276" spans="1:9" ht="25.2" customHeight="1" x14ac:dyDescent="0.3">
      <c r="C276" s="72" t="str">
        <f>_xlfn.CONCAT(_xlfn.XLOOKUP("[S06_VirtualVisitsInstallationsDetails][1][TypeForceMajeur]",Submission!$O:$O,Submission!$H:$N,""))</f>
        <v>Covid-19 related measures imposed by the government and/or the operator to minimize risks connected with the epidemiological situation</v>
      </c>
      <c r="D276" s="444" t="str">
        <f>_xlfn.CONCAT(_xlfn.XLOOKUP("[S06_VirtualVisitsInstallationsDetails][1][NumberOfInstallationsVV]",Submission!$O:$O,Submission!$H:$N,""))</f>
        <v>19</v>
      </c>
      <c r="E276" s="445"/>
      <c r="F276" s="258" t="str">
        <f>_xlfn.CONCAT(_xlfn.XLOOKUP("[S06_VirtualVisitsInstallationsDetails][1][AuthorityApproval]",Submission!$O:$O,Submission!$H:$N,""))</f>
        <v>Approval by competent authority</v>
      </c>
      <c r="G276" s="260"/>
      <c r="H276" s="258" t="str">
        <f>_xlfn.CONCAT(_xlfn.XLOOKUP("[S06_VirtualVisitsInstallationsDetails][1][ConfirmationConditionsMet]",Submission!$O:$O,Submission!$H:$N,""))</f>
        <v>Yes</v>
      </c>
      <c r="I276" s="260"/>
    </row>
    <row r="277" spans="1:9" ht="25.2" customHeight="1" x14ac:dyDescent="0.3">
      <c r="C277" s="72" t="str">
        <f>_xlfn.CONCAT(_xlfn.XLOOKUP("[S06_VirtualVisitsInstallationsDetails][2][TypeForceMajeur]",Submission!$O:$O,Submission!$H:$N,""))</f>
        <v/>
      </c>
      <c r="D277" s="444" t="str">
        <f>_xlfn.CONCAT(_xlfn.XLOOKUP("[S06_VirtualVisitsInstallationsDetails][2][NumberOfInstallationsVV]",Submission!$O:$O,Submission!$H:$N,""))</f>
        <v/>
      </c>
      <c r="E277" s="445"/>
      <c r="F277" s="258" t="str">
        <f>_xlfn.CONCAT(_xlfn.XLOOKUP("[S06_VirtualVisitsInstallationsDetails][2][AuthorityApproval]",Submission!$O:$O,Submission!$H:$N,""))</f>
        <v/>
      </c>
      <c r="G277" s="260"/>
      <c r="H277" s="258" t="str">
        <f>_xlfn.CONCAT(_xlfn.XLOOKUP("[S06_VirtualVisitsInstallationsDetails][2][ConfirmationConditionsMet]",Submission!$O:$O,Submission!$H:$N,""))</f>
        <v/>
      </c>
      <c r="I277" s="260"/>
    </row>
    <row r="278" spans="1:9" ht="25.2" customHeight="1" x14ac:dyDescent="0.3">
      <c r="C278" s="72" t="str">
        <f>_xlfn.CONCAT(_xlfn.XLOOKUP("[S06_VirtualVisitsInstallationsDetails][3][TypeForceMajeur]",Submission!$O:$O,Submission!$H:$N,""))</f>
        <v/>
      </c>
      <c r="D278" s="444" t="str">
        <f>_xlfn.CONCAT(_xlfn.XLOOKUP("[S06_VirtualVisitsInstallationsDetails][3][NumberOfInstallationsVV]",Submission!$O:$O,Submission!$H:$N,""))</f>
        <v/>
      </c>
      <c r="E278" s="445"/>
      <c r="F278" s="258" t="str">
        <f>_xlfn.CONCAT(_xlfn.XLOOKUP("[S06_VirtualVisitsInstallationsDetails][3][AuthorityApproval]",Submission!$O:$O,Submission!$H:$N,""))</f>
        <v/>
      </c>
      <c r="G278" s="260"/>
      <c r="H278" s="258" t="str">
        <f>_xlfn.CONCAT(_xlfn.XLOOKUP("[S06_VirtualVisitsInstallationsDetails][3][ConfirmationConditionsMet]",Submission!$O:$O,Submission!$H:$N,""))</f>
        <v/>
      </c>
      <c r="I278" s="260"/>
    </row>
    <row r="279" spans="1:9" ht="25.2" customHeight="1" x14ac:dyDescent="0.3">
      <c r="C279" s="72" t="str">
        <f>_xlfn.CONCAT(_xlfn.XLOOKUP("[S06_VirtualVisitsInstallationsDetails][4][TypeForceMajeur]",Submission!$O:$O,Submission!$H:$N,""))</f>
        <v/>
      </c>
      <c r="D279" s="444" t="str">
        <f>_xlfn.CONCAT(_xlfn.XLOOKUP("[S06_VirtualVisitsInstallationsDetails][4][NumberOfInstallationsVV]",Submission!$O:$O,Submission!$H:$N,""))</f>
        <v/>
      </c>
      <c r="E279" s="445"/>
      <c r="F279" s="258" t="str">
        <f>_xlfn.CONCAT(_xlfn.XLOOKUP("[S06_VirtualVisitsInstallationsDetails][4][AuthorityApproval]",Submission!$O:$O,Submission!$H:$N,""))</f>
        <v/>
      </c>
      <c r="G279" s="260"/>
      <c r="H279" s="258" t="str">
        <f>_xlfn.CONCAT(_xlfn.XLOOKUP("[S06_VirtualVisitsInstallationsDetails][4][ConfirmationConditionsMet]",Submission!$O:$O,Submission!$H:$N,""))</f>
        <v/>
      </c>
      <c r="I279" s="260"/>
    </row>
    <row r="280" spans="1:9" ht="25.2" hidden="1" customHeight="1" outlineLevel="1" x14ac:dyDescent="0.3">
      <c r="C280" s="72" t="str">
        <f>_xlfn.CONCAT(_xlfn.XLOOKUP("[S06_VirtualVisitsInstallationsDetails][5][TypeForceMajeur]",Submission!$O:$O,Submission!$H:$N,""))</f>
        <v/>
      </c>
      <c r="D280" s="444" t="str">
        <f>_xlfn.CONCAT(_xlfn.XLOOKUP("[S06_VirtualVisitsInstallationsDetails][5][NumberOfInstallationsVV]",Submission!$O:$O,Submission!$H:$N,""))</f>
        <v/>
      </c>
      <c r="E280" s="445"/>
      <c r="F280" s="258" t="str">
        <f>_xlfn.CONCAT(_xlfn.XLOOKUP("[S06_VirtualVisitsInstallationsDetails][5][AuthorityApproval]",Submission!$O:$O,Submission!$H:$N,""))</f>
        <v/>
      </c>
      <c r="G280" s="260"/>
      <c r="H280" s="258" t="str">
        <f>_xlfn.CONCAT(_xlfn.XLOOKUP("[S06_VirtualVisitsInstallationsDetails][5][ConfirmationConditionsMet]",Submission!$O:$O,Submission!$H:$N,""))</f>
        <v/>
      </c>
      <c r="I280" s="260"/>
    </row>
    <row r="281" spans="1:9" ht="25.2" hidden="1" customHeight="1" outlineLevel="1" x14ac:dyDescent="0.3">
      <c r="C281" s="72" t="str">
        <f>_xlfn.CONCAT(_xlfn.XLOOKUP("[S06_VirtualVisitsInstallationsDetails][6][TypeForceMajeur]",Submission!$O:$O,Submission!$H:$N,""))</f>
        <v/>
      </c>
      <c r="D281" s="444" t="str">
        <f>_xlfn.CONCAT(_xlfn.XLOOKUP("[S06_VirtualVisitsInstallationsDetails][6][NumberOfInstallationsVV]",Submission!$O:$O,Submission!$H:$N,""))</f>
        <v/>
      </c>
      <c r="E281" s="445"/>
      <c r="F281" s="258" t="str">
        <f>_xlfn.CONCAT(_xlfn.XLOOKUP("[S06_VirtualVisitsInstallationsDetails][6][AuthorityApproval]",Submission!$O:$O,Submission!$H:$N,""))</f>
        <v/>
      </c>
      <c r="G281" s="260"/>
      <c r="H281" s="258" t="str">
        <f>_xlfn.CONCAT(_xlfn.XLOOKUP("[S06_VirtualVisitsInstallationsDetails][6][ConfirmationConditionsMet]",Submission!$O:$O,Submission!$H:$N,""))</f>
        <v/>
      </c>
      <c r="I281" s="260"/>
    </row>
    <row r="282" spans="1:9" ht="25.2" hidden="1" customHeight="1" outlineLevel="1" x14ac:dyDescent="0.3">
      <c r="C282" s="72" t="str">
        <f>_xlfn.CONCAT(_xlfn.XLOOKUP("[S06_VirtualVisitsInstallationsDetails][7][TypeForceMajeur]",Submission!$O:$O,Submission!$H:$N,""))</f>
        <v/>
      </c>
      <c r="D282" s="444" t="str">
        <f>_xlfn.CONCAT(_xlfn.XLOOKUP("[S06_VirtualVisitsInstallationsDetails][7][NumberOfInstallationsVV]",Submission!$O:$O,Submission!$H:$N,""))</f>
        <v/>
      </c>
      <c r="E282" s="445"/>
      <c r="F282" s="258" t="str">
        <f>_xlfn.CONCAT(_xlfn.XLOOKUP("[S06_VirtualVisitsInstallationsDetails][7][AuthorityApproval]",Submission!$O:$O,Submission!$H:$N,""))</f>
        <v/>
      </c>
      <c r="G282" s="260"/>
      <c r="H282" s="258" t="str">
        <f>_xlfn.CONCAT(_xlfn.XLOOKUP("[S06_VirtualVisitsInstallationsDetails][7][ConfirmationConditionsMet]",Submission!$O:$O,Submission!$H:$N,""))</f>
        <v/>
      </c>
      <c r="I282" s="260"/>
    </row>
    <row r="283" spans="1:9" ht="25.2" hidden="1" customHeight="1" outlineLevel="1" x14ac:dyDescent="0.3">
      <c r="C283" s="72" t="str">
        <f>_xlfn.CONCAT(_xlfn.XLOOKUP("[S06_VirtualVisitsInstallationsDetails][8][TypeForceMajeur]",Submission!$O:$O,Submission!$H:$N,""))</f>
        <v/>
      </c>
      <c r="D283" s="444" t="str">
        <f>_xlfn.CONCAT(_xlfn.XLOOKUP("[S06_VirtualVisitsInstallationsDetails][8][NumberOfInstallationsVV]",Submission!$O:$O,Submission!$H:$N,""))</f>
        <v/>
      </c>
      <c r="E283" s="445"/>
      <c r="F283" s="258" t="str">
        <f>_xlfn.CONCAT(_xlfn.XLOOKUP("[S06_VirtualVisitsInstallationsDetails][8][AuthorityApproval]",Submission!$O:$O,Submission!$H:$N,""))</f>
        <v/>
      </c>
      <c r="G283" s="260"/>
      <c r="H283" s="258" t="str">
        <f>_xlfn.CONCAT(_xlfn.XLOOKUP("[S06_VirtualVisitsInstallationsDetails][8][ConfirmationConditionsMet]",Submission!$O:$O,Submission!$H:$N,""))</f>
        <v/>
      </c>
      <c r="I283" s="260"/>
    </row>
    <row r="284" spans="1:9" ht="25.2" hidden="1" customHeight="1" outlineLevel="1" x14ac:dyDescent="0.3">
      <c r="C284" s="72" t="str">
        <f>_xlfn.CONCAT(_xlfn.XLOOKUP("[S06_VirtualVisitsInstallationsDetails][9][TypeForceMajeur]",Submission!$O:$O,Submission!$H:$N,""))</f>
        <v/>
      </c>
      <c r="D284" s="444" t="str">
        <f>_xlfn.CONCAT(_xlfn.XLOOKUP("[S06_VirtualVisitsInstallationsDetails][9][NumberOfInstallationsVV]",Submission!$O:$O,Submission!$H:$N,""))</f>
        <v/>
      </c>
      <c r="E284" s="445"/>
      <c r="F284" s="258" t="str">
        <f>_xlfn.CONCAT(_xlfn.XLOOKUP("[S06_VirtualVisitsInstallationsDetails][9][AuthorityApproval]",Submission!$O:$O,Submission!$H:$N,""))</f>
        <v/>
      </c>
      <c r="G284" s="260"/>
      <c r="H284" s="258" t="str">
        <f>_xlfn.CONCAT(_xlfn.XLOOKUP("[S06_VirtualVisitsInstallationsDetails][9][ConfirmationConditionsMet]",Submission!$O:$O,Submission!$H:$N,""))</f>
        <v/>
      </c>
      <c r="I284" s="260"/>
    </row>
    <row r="285" spans="1:9" ht="25.2" hidden="1" customHeight="1" outlineLevel="1" x14ac:dyDescent="0.3">
      <c r="C285" s="72" t="str">
        <f>_xlfn.CONCAT(_xlfn.XLOOKUP("[S06_VirtualVisitsInstallationsDetails][10][TypeForceMajeur]",Submission!$O:$O,Submission!$H:$N,""))</f>
        <v/>
      </c>
      <c r="D285" s="444" t="str">
        <f>_xlfn.CONCAT(_xlfn.XLOOKUP("[S06_VirtualVisitsInstallationsDetails][10][NumberOfInstallationsVV]",Submission!$O:$O,Submission!$H:$N,""))</f>
        <v/>
      </c>
      <c r="E285" s="445"/>
      <c r="F285" s="258" t="str">
        <f>_xlfn.CONCAT(_xlfn.XLOOKUP("[S06_VirtualVisitsInstallationsDetails][10][AuthorityApproval]",Submission!$O:$O,Submission!$H:$N,""))</f>
        <v/>
      </c>
      <c r="G285" s="260"/>
      <c r="H285" s="258" t="str">
        <f>_xlfn.CONCAT(_xlfn.XLOOKUP("[S06_VirtualVisitsInstallationsDetails][10][ConfirmationConditionsMet]",Submission!$O:$O,Submission!$H:$N,""))</f>
        <v/>
      </c>
      <c r="I285" s="260"/>
    </row>
    <row r="286" spans="1:9" ht="25.2" hidden="1" customHeight="1" outlineLevel="1" x14ac:dyDescent="0.3">
      <c r="C286" s="72" t="str">
        <f>_xlfn.CONCAT(_xlfn.XLOOKUP("[S06_VirtualVisitsInstallationsDetails][11][TypeForceMajeur]",Submission!$O:$O,Submission!$H:$N,""))</f>
        <v/>
      </c>
      <c r="D286" s="444" t="str">
        <f>_xlfn.CONCAT(_xlfn.XLOOKUP("[S06_VirtualVisitsInstallationsDetails][11][NumberOfInstallationsVV]",Submission!$O:$O,Submission!$H:$N,""))</f>
        <v/>
      </c>
      <c r="E286" s="445"/>
      <c r="F286" s="258" t="str">
        <f>_xlfn.CONCAT(_xlfn.XLOOKUP("[S06_VirtualVisitsInstallationsDetails][11][AuthorityApproval]",Submission!$O:$O,Submission!$H:$N,""))</f>
        <v/>
      </c>
      <c r="G286" s="260"/>
      <c r="H286" s="258" t="str">
        <f>_xlfn.CONCAT(_xlfn.XLOOKUP("[S06_VirtualVisitsInstallationsDetails][11][ConfirmationConditionsMet]",Submission!$O:$O,Submission!$H:$N,""))</f>
        <v/>
      </c>
      <c r="I286" s="260"/>
    </row>
    <row r="287" spans="1:9" ht="25.2" hidden="1" customHeight="1" outlineLevel="1" x14ac:dyDescent="0.3">
      <c r="C287" s="72" t="str">
        <f>_xlfn.CONCAT(_xlfn.XLOOKUP("[S06_VirtualVisitsInstallationsDetails][12][TypeForceMajeur]",Submission!$O:$O,Submission!$H:$N,""))</f>
        <v/>
      </c>
      <c r="D287" s="444" t="str">
        <f>_xlfn.CONCAT(_xlfn.XLOOKUP("[S06_VirtualVisitsInstallationsDetails][12][NumberOfInstallationsVV]",Submission!$O:$O,Submission!$H:$N,""))</f>
        <v/>
      </c>
      <c r="E287" s="445"/>
      <c r="F287" s="258" t="str">
        <f>_xlfn.CONCAT(_xlfn.XLOOKUP("[S06_VirtualVisitsInstallationsDetails][12][AuthorityApproval]",Submission!$O:$O,Submission!$H:$N,""))</f>
        <v/>
      </c>
      <c r="G287" s="260"/>
      <c r="H287" s="258" t="str">
        <f>_xlfn.CONCAT(_xlfn.XLOOKUP("[S06_VirtualVisitsInstallationsDetails][12][ConfirmationConditionsMet]",Submission!$O:$O,Submission!$H:$N,""))</f>
        <v/>
      </c>
      <c r="I287" s="260"/>
    </row>
    <row r="288" spans="1:9" ht="25.2" hidden="1" customHeight="1" outlineLevel="1" x14ac:dyDescent="0.3">
      <c r="C288" s="72" t="str">
        <f>_xlfn.CONCAT(_xlfn.XLOOKUP("[S06_VirtualVisitsInstallationsDetails][13][TypeForceMajeur]",Submission!$O:$O,Submission!$H:$N,""))</f>
        <v/>
      </c>
      <c r="D288" s="444" t="str">
        <f>_xlfn.CONCAT(_xlfn.XLOOKUP("[S06_VirtualVisitsInstallationsDetails][13][NumberOfInstallationsVV]",Submission!$O:$O,Submission!$H:$N,""))</f>
        <v/>
      </c>
      <c r="E288" s="445"/>
      <c r="F288" s="258" t="str">
        <f>_xlfn.CONCAT(_xlfn.XLOOKUP("[S06_VirtualVisitsInstallationsDetails][13][AuthorityApproval]",Submission!$O:$O,Submission!$H:$N,""))</f>
        <v/>
      </c>
      <c r="G288" s="260"/>
      <c r="H288" s="258" t="str">
        <f>_xlfn.CONCAT(_xlfn.XLOOKUP("[S06_VirtualVisitsInstallationsDetails][13][ConfirmationConditionsMet]",Submission!$O:$O,Submission!$H:$N,""))</f>
        <v/>
      </c>
      <c r="I288" s="260"/>
    </row>
    <row r="289" spans="1:11" ht="15.9" customHeight="1" collapsed="1" x14ac:dyDescent="0.3">
      <c r="A289" s="13"/>
      <c r="B289" s="26" t="s">
        <v>1000</v>
      </c>
      <c r="C289" s="19"/>
      <c r="D289" s="11"/>
      <c r="E289" s="11"/>
      <c r="F289" s="11"/>
      <c r="G289" s="11"/>
      <c r="H289" s="11"/>
    </row>
    <row r="290" spans="1:11" ht="15.9" customHeight="1" x14ac:dyDescent="0.3">
      <c r="A290" s="13"/>
      <c r="B290" s="446" t="s">
        <v>1078</v>
      </c>
      <c r="C290" s="447"/>
      <c r="D290" s="447"/>
      <c r="E290" s="447"/>
      <c r="F290" s="447"/>
      <c r="G290" s="447"/>
      <c r="H290" s="447"/>
      <c r="I290" s="447"/>
    </row>
    <row r="291" spans="1:11" ht="15.9" customHeight="1" x14ac:dyDescent="0.3">
      <c r="B291" s="22"/>
      <c r="C291" s="24"/>
      <c r="D291" s="24"/>
      <c r="E291" s="24"/>
      <c r="F291" s="24"/>
      <c r="G291" s="24"/>
      <c r="H291" s="24"/>
      <c r="I291" s="24"/>
    </row>
    <row r="292" spans="1:11" ht="18.899999999999999" customHeight="1" x14ac:dyDescent="0.35">
      <c r="A292" s="85" t="s">
        <v>1079</v>
      </c>
      <c r="B292" s="310" t="s">
        <v>1080</v>
      </c>
      <c r="C292" s="310"/>
      <c r="D292" s="310"/>
      <c r="E292" s="310"/>
      <c r="F292" s="310"/>
      <c r="G292" s="310"/>
      <c r="H292" s="310"/>
      <c r="I292" s="311"/>
    </row>
    <row r="293" spans="1:11" ht="33" customHeight="1" x14ac:dyDescent="0.3">
      <c r="A293" s="12" t="s">
        <v>407</v>
      </c>
      <c r="B293" s="312" t="s">
        <v>1081</v>
      </c>
      <c r="C293" s="312"/>
      <c r="D293" s="312"/>
      <c r="E293" s="312"/>
      <c r="F293" s="312"/>
      <c r="G293" s="312"/>
      <c r="H293" s="312"/>
      <c r="I293" s="312"/>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79" t="s">
        <v>1087</v>
      </c>
      <c r="D317" s="280"/>
      <c r="E317" s="280"/>
      <c r="F317" s="280"/>
      <c r="G317" s="280"/>
      <c r="H317" s="280"/>
      <c r="I317" s="280"/>
    </row>
    <row r="318" spans="1:9" s="11" customFormat="1" ht="46.5" customHeight="1" x14ac:dyDescent="0.3">
      <c r="C318" s="358" t="s">
        <v>1088</v>
      </c>
      <c r="D318" s="359"/>
      <c r="E318" s="359"/>
      <c r="F318" s="359"/>
      <c r="G318" s="359"/>
      <c r="H318" s="359"/>
      <c r="I318" s="359"/>
    </row>
    <row r="319" spans="1:9" s="11" customFormat="1" ht="26.1" customHeight="1" x14ac:dyDescent="0.3">
      <c r="C319" s="358" t="s">
        <v>1089</v>
      </c>
      <c r="D319" s="359"/>
      <c r="E319" s="359"/>
      <c r="F319" s="359"/>
      <c r="G319" s="359"/>
      <c r="H319" s="359"/>
      <c r="I319" s="359"/>
    </row>
    <row r="320" spans="1:9" s="11" customFormat="1" ht="16.95" customHeight="1" x14ac:dyDescent="0.3">
      <c r="C320" s="19"/>
      <c r="D320" s="31"/>
      <c r="E320" s="31"/>
      <c r="F320" s="31"/>
      <c r="G320" s="31"/>
      <c r="H320" s="31"/>
      <c r="I320" s="31"/>
    </row>
    <row r="321" spans="1:9" s="11" customFormat="1" ht="18" customHeight="1" x14ac:dyDescent="0.3">
      <c r="C321" s="307" t="s">
        <v>1090</v>
      </c>
      <c r="D321" s="307"/>
      <c r="E321" s="307"/>
      <c r="F321" s="307"/>
      <c r="G321" s="307"/>
      <c r="H321" s="307"/>
      <c r="I321" s="307"/>
    </row>
    <row r="322" spans="1:9" ht="15.9" customHeight="1" x14ac:dyDescent="0.3">
      <c r="C322" s="314" t="s">
        <v>1037</v>
      </c>
      <c r="D322" s="315"/>
      <c r="E322" s="315"/>
      <c r="F322" s="315"/>
      <c r="G322" s="316"/>
      <c r="H322" s="438" t="s">
        <v>99</v>
      </c>
      <c r="I322" s="439"/>
    </row>
    <row r="323" spans="1:9" ht="15.9" customHeight="1" x14ac:dyDescent="0.3">
      <c r="C323" s="249" t="s">
        <v>1038</v>
      </c>
      <c r="D323" s="257"/>
      <c r="E323" s="257"/>
      <c r="F323" s="257"/>
      <c r="G323" s="250"/>
      <c r="H323" s="351" t="str">
        <f>_xlfn.CONCAT(_xlfn.XLOOKUP("[S06_NegativeOpinionAircraft][1][CountNegativeOpinions]",Submission!$O:$O,Submission!$H:$N,""))</f>
        <v>0</v>
      </c>
      <c r="I323" s="361"/>
    </row>
    <row r="324" spans="1:9" x14ac:dyDescent="0.3">
      <c r="C324" s="249" t="s">
        <v>1091</v>
      </c>
      <c r="D324" s="257"/>
      <c r="E324" s="257"/>
      <c r="F324" s="257"/>
      <c r="G324" s="250"/>
      <c r="H324" s="351" t="str">
        <f>_xlfn.CONCAT(_xlfn.XLOOKUP("[S06_NegativeOpinionAircraft][2][CountNegativeOpinions]",Submission!$O:$O,Submission!$H:$N,""))</f>
        <v>0</v>
      </c>
      <c r="I324" s="361"/>
    </row>
    <row r="325" spans="1:9" ht="15.9" customHeight="1" x14ac:dyDescent="0.3">
      <c r="C325" s="249" t="s">
        <v>1040</v>
      </c>
      <c r="D325" s="257"/>
      <c r="E325" s="257"/>
      <c r="F325" s="257"/>
      <c r="G325" s="250"/>
      <c r="H325" s="351" t="str">
        <f>_xlfn.CONCAT(_xlfn.XLOOKUP("[S06_NegativeOpinionAircraft][3][CountNegativeOpinions]",Submission!$O:$O,Submission!$H:$N,""))</f>
        <v>0</v>
      </c>
      <c r="I325" s="361"/>
    </row>
    <row r="326" spans="1:9" ht="18" customHeight="1" x14ac:dyDescent="0.3">
      <c r="C326" s="249" t="s">
        <v>1041</v>
      </c>
      <c r="D326" s="257"/>
      <c r="E326" s="257"/>
      <c r="F326" s="257"/>
      <c r="G326" s="250"/>
      <c r="H326" s="351" t="str">
        <f>_xlfn.CONCAT(_xlfn.XLOOKUP("[S06_NegativeOpinionAircraft][4][CountNegativeOpinions]",Submission!$O:$O,Submission!$H:$N,""))</f>
        <v>0</v>
      </c>
      <c r="I326" s="361"/>
    </row>
    <row r="327" spans="1:9" s="11" customFormat="1" ht="14.4" x14ac:dyDescent="0.3">
      <c r="C327" s="20"/>
      <c r="D327" s="24"/>
      <c r="E327" s="24"/>
      <c r="F327" s="24"/>
      <c r="G327" s="24"/>
      <c r="H327" s="24"/>
      <c r="I327" s="24"/>
    </row>
    <row r="328" spans="1:9" ht="32.1" customHeight="1" x14ac:dyDescent="0.3">
      <c r="A328" s="12" t="s">
        <v>412</v>
      </c>
      <c r="B328" s="338" t="s">
        <v>1092</v>
      </c>
      <c r="C328" s="308"/>
      <c r="D328" s="308"/>
      <c r="E328" s="308"/>
      <c r="F328" s="308"/>
      <c r="G328" s="308"/>
      <c r="H328" s="345"/>
      <c r="I328" s="41" t="str">
        <f>_xlfn.CONCAT(_xlfn.XLOOKUP("[AircraftOperatorsVerificationReportIssues][0][AircraftOperatorsVerificationReportIssues]",Submission!$O:$O,Submission!$H:$N,""))</f>
        <v>No</v>
      </c>
    </row>
    <row r="329" spans="1:9" ht="16.2" customHeight="1" x14ac:dyDescent="0.3">
      <c r="A329" s="12"/>
      <c r="B329" s="275" t="s">
        <v>1093</v>
      </c>
      <c r="C329" s="276"/>
      <c r="D329" s="276"/>
      <c r="E329" s="276"/>
      <c r="F329" s="276"/>
      <c r="G329" s="276"/>
      <c r="H329" s="276"/>
      <c r="I329" s="276"/>
    </row>
    <row r="330" spans="1:9" ht="15.6" customHeight="1" x14ac:dyDescent="0.3">
      <c r="A330" s="12"/>
      <c r="B330" s="22"/>
      <c r="C330" s="434" t="s">
        <v>1094</v>
      </c>
      <c r="D330" s="434"/>
      <c r="E330" s="434"/>
      <c r="F330" s="434"/>
      <c r="G330" s="434"/>
      <c r="H330" s="434"/>
      <c r="I330" s="434"/>
    </row>
    <row r="331" spans="1:9" ht="43.95" customHeight="1" x14ac:dyDescent="0.3">
      <c r="A331" s="12"/>
      <c r="B331" s="23"/>
      <c r="C331" s="314" t="s">
        <v>1044</v>
      </c>
      <c r="D331" s="333"/>
      <c r="E331" s="334"/>
      <c r="F331" s="51" t="s">
        <v>945</v>
      </c>
      <c r="G331" s="51" t="s">
        <v>1046</v>
      </c>
      <c r="H331" s="314" t="s">
        <v>1047</v>
      </c>
      <c r="I331" s="334"/>
    </row>
    <row r="332" spans="1:9" ht="15.9" customHeight="1" x14ac:dyDescent="0.3">
      <c r="A332" s="12"/>
      <c r="B332" s="23"/>
      <c r="C332" s="419" t="str">
        <f>_xlfn.CONCAT(_xlfn.XLOOKUP("[S06_AircraftOperatorsVerificationReportIssuesEmissions][1][TypeOfIssue]",Submission!$O:$O,Submission!$H:$N,""))</f>
        <v/>
      </c>
      <c r="D332" s="420"/>
      <c r="E332" s="421"/>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42" t="str">
        <f>_xlfn.CONCAT(_xlfn.XLOOKUP("[S06_AircraftOperatorsVerificationReportIssuesEmissions][1][ShareOfReportsConservativeEstimate]",Submission!$O:$O,Submission!$H:$N,""))</f>
        <v/>
      </c>
      <c r="I332" s="443"/>
    </row>
    <row r="333" spans="1:9" ht="15.9" customHeight="1" x14ac:dyDescent="0.3">
      <c r="A333" s="12"/>
      <c r="B333" s="23"/>
      <c r="C333" s="419" t="str">
        <f>_xlfn.CONCAT(_xlfn.XLOOKUP("[S06_AircraftOperatorsVerificationReportIssuesEmissions][2][TypeOfIssue]",Submission!$O:$O,Submission!$H:$N,""))</f>
        <v/>
      </c>
      <c r="D333" s="420"/>
      <c r="E333" s="421"/>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2" t="str">
        <f>_xlfn.CONCAT(_xlfn.XLOOKUP("[S06_AircraftOperatorsVerificationReportIssuesEmissions][2][ShareOfReportsConservativeEstimate]",Submission!$O:$O,Submission!$H:$N,""))</f>
        <v/>
      </c>
      <c r="I333" s="443"/>
    </row>
    <row r="334" spans="1:9" ht="15.9" hidden="1" customHeight="1" outlineLevel="1" x14ac:dyDescent="0.3">
      <c r="A334" s="12"/>
      <c r="B334" s="23"/>
      <c r="C334" s="419" t="str">
        <f>_xlfn.CONCAT(_xlfn.XLOOKUP("[S06_AircraftOperatorsVerificationReportIssuesEmissions][3][TypeOfIssue]",Submission!$O:$O,Submission!$H:$N,""))</f>
        <v/>
      </c>
      <c r="D334" s="420"/>
      <c r="E334" s="421"/>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2" t="str">
        <f>_xlfn.CONCAT(_xlfn.XLOOKUP("[S06_AircraftOperatorsVerificationReportIssuesEmissions][3][ShareOfReportsConservativeEstimate]",Submission!$O:$O,Submission!$H:$N,""))</f>
        <v/>
      </c>
      <c r="I334" s="443"/>
    </row>
    <row r="335" spans="1:9" ht="15.9" hidden="1" customHeight="1" outlineLevel="1" x14ac:dyDescent="0.3">
      <c r="A335" s="12"/>
      <c r="B335" s="23"/>
      <c r="C335" s="419" t="str">
        <f>_xlfn.CONCAT(_xlfn.XLOOKUP("[S06_AircraftOperatorsVerificationReportIssuesEmissions][4][TypeOfIssue]",Submission!$O:$O,Submission!$H:$N,""))</f>
        <v/>
      </c>
      <c r="D335" s="420"/>
      <c r="E335" s="421"/>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2" t="str">
        <f>_xlfn.CONCAT(_xlfn.XLOOKUP("[S06_AircraftOperatorsVerificationReportIssuesEmissions][4][ShareOfReportsConservativeEstimate]",Submission!$O:$O,Submission!$H:$N,""))</f>
        <v/>
      </c>
      <c r="I335" s="443"/>
    </row>
    <row r="336" spans="1:9" ht="15.9" customHeight="1" collapsed="1" x14ac:dyDescent="0.3">
      <c r="A336" s="12"/>
      <c r="B336" s="26" t="s">
        <v>1000</v>
      </c>
      <c r="C336" s="19"/>
      <c r="D336" s="11"/>
      <c r="E336" s="11"/>
      <c r="F336" s="11"/>
      <c r="G336" s="11"/>
      <c r="H336" s="11"/>
    </row>
    <row r="337" spans="1:9" ht="27" customHeight="1" x14ac:dyDescent="0.3">
      <c r="A337" s="12"/>
      <c r="C337" s="279" t="s">
        <v>1095</v>
      </c>
      <c r="D337" s="280"/>
      <c r="E337" s="280"/>
      <c r="F337" s="280"/>
      <c r="G337" s="280"/>
      <c r="H337" s="280"/>
      <c r="I337" s="280"/>
    </row>
    <row r="338" spans="1:9" ht="15.9" customHeight="1" x14ac:dyDescent="0.3">
      <c r="A338" s="12"/>
      <c r="C338" s="20"/>
      <c r="D338" s="24"/>
      <c r="E338" s="24"/>
      <c r="F338" s="24"/>
      <c r="G338" s="24"/>
      <c r="H338" s="24"/>
      <c r="I338" s="24"/>
    </row>
    <row r="339" spans="1:9" ht="15.9" customHeight="1" x14ac:dyDescent="0.3">
      <c r="A339" s="12"/>
      <c r="C339" s="434" t="s">
        <v>1096</v>
      </c>
      <c r="D339" s="434"/>
      <c r="E339" s="434"/>
      <c r="F339" s="434"/>
      <c r="G339" s="434"/>
      <c r="H339" s="434"/>
      <c r="I339" s="434"/>
    </row>
    <row r="340" spans="1:9" ht="15.9" customHeight="1" x14ac:dyDescent="0.3">
      <c r="A340" s="12"/>
      <c r="B340" s="23"/>
      <c r="C340" s="314" t="s">
        <v>1044</v>
      </c>
      <c r="D340" s="333"/>
      <c r="E340" s="334"/>
      <c r="F340" s="51" t="s">
        <v>945</v>
      </c>
      <c r="G340" s="435" t="s">
        <v>1046</v>
      </c>
      <c r="H340" s="436"/>
      <c r="I340" s="437"/>
    </row>
    <row r="341" spans="1:9" ht="15.9" customHeight="1" x14ac:dyDescent="0.3">
      <c r="A341" s="12"/>
      <c r="B341" s="23"/>
      <c r="C341" s="419" t="str">
        <f>_xlfn.CONCAT(_xlfn.XLOOKUP("[S06_AircraftOperatorsVerificationReportIssuesTKM][1][TypeOfIssue]",Submission!$O:$O,Submission!$H:$N,""))</f>
        <v/>
      </c>
      <c r="D341" s="420"/>
      <c r="E341" s="421"/>
      <c r="F341" s="132" t="str">
        <f>_xlfn.CONCAT(_xlfn.XLOOKUP("[S06_AircraftOperatorsVerificationReportIssuesTKM][1][NumberOfAircraftOperators]",Submission!$O:$O,Submission!$H:$N,""))</f>
        <v/>
      </c>
      <c r="G341" s="335" t="str">
        <f>_xlfn.CONCAT(_xlfn.XLOOKUP("[S06_AircraftOperatorsVerificationReportIssuesTKM][1][NumberOfIssues]",Submission!$O:$O,Submission!$H:$N,""))</f>
        <v/>
      </c>
      <c r="H341" s="336"/>
      <c r="I341" s="337"/>
    </row>
    <row r="342" spans="1:9" ht="15.9" customHeight="1" x14ac:dyDescent="0.3">
      <c r="A342" s="12"/>
      <c r="B342" s="23"/>
      <c r="C342" s="419" t="str">
        <f>_xlfn.CONCAT(_xlfn.XLOOKUP("[S06_AircraftOperatorsVerificationReportIssuesTKM][2][TypeOfIssue]",Submission!$O:$O,Submission!$H:$N,""))</f>
        <v/>
      </c>
      <c r="D342" s="420"/>
      <c r="E342" s="421"/>
      <c r="F342" s="132" t="str">
        <f>_xlfn.CONCAT(_xlfn.XLOOKUP("[S06_AircraftOperatorsVerificationReportIssuesTKM][2][NumberOfAircraftOperators]",Submission!$O:$O,Submission!$H:$N,""))</f>
        <v/>
      </c>
      <c r="G342" s="335" t="str">
        <f>_xlfn.CONCAT(_xlfn.XLOOKUP("[S06_AircraftOperatorsVerificationReportIssuesTKM][2][NumberOfIssues]",Submission!$O:$O,Submission!$H:$N,""))</f>
        <v/>
      </c>
      <c r="H342" s="336"/>
      <c r="I342" s="337"/>
    </row>
    <row r="343" spans="1:9" ht="15.9" hidden="1" customHeight="1" outlineLevel="1" x14ac:dyDescent="0.3">
      <c r="A343" s="12"/>
      <c r="B343" s="23"/>
      <c r="C343" s="419" t="str">
        <f>_xlfn.CONCAT(_xlfn.XLOOKUP("[S06_AircraftOperatorsVerificationReportIssuesTKM][3][TypeOfIssue]",Submission!$O:$O,Submission!$H:$N,""))</f>
        <v/>
      </c>
      <c r="D343" s="420"/>
      <c r="E343" s="421"/>
      <c r="F343" s="132" t="str">
        <f>_xlfn.CONCAT(_xlfn.XLOOKUP("[S06_AircraftOperatorsVerificationReportIssuesTKM][3][NumberOfAircraftOperators]",Submission!$O:$O,Submission!$H:$N,""))</f>
        <v/>
      </c>
      <c r="G343" s="335" t="str">
        <f>_xlfn.CONCAT(_xlfn.XLOOKUP("[S06_AircraftOperatorsVerificationReportIssuesTKM][3][NumberOfIssues]",Submission!$O:$O,Submission!$H:$N,""))</f>
        <v/>
      </c>
      <c r="H343" s="336"/>
      <c r="I343" s="337"/>
    </row>
    <row r="344" spans="1:9" ht="15.9" hidden="1" customHeight="1" outlineLevel="1" x14ac:dyDescent="0.3">
      <c r="A344" s="12"/>
      <c r="B344" s="23"/>
      <c r="C344" s="419" t="str">
        <f>_xlfn.CONCAT(_xlfn.XLOOKUP("[S06_AircraftOperatorsVerificationReportIssuesTKM][4][TypeOfIssue]",Submission!$O:$O,Submission!$H:$N,""))</f>
        <v/>
      </c>
      <c r="D344" s="420"/>
      <c r="E344" s="421"/>
      <c r="F344" s="132" t="str">
        <f>_xlfn.CONCAT(_xlfn.XLOOKUP("[S06_AircraftOperatorsVerificationReportIssuesTKM][4][NumberOfAircraftOperators]",Submission!$O:$O,Submission!$H:$N,""))</f>
        <v/>
      </c>
      <c r="G344" s="335" t="str">
        <f>_xlfn.CONCAT(_xlfn.XLOOKUP("[S06_AircraftOperatorsVerificationReportIssuesTKM][4][NumberOfIssues]",Submission!$O:$O,Submission!$H:$N,""))</f>
        <v/>
      </c>
      <c r="H344" s="336"/>
      <c r="I344" s="337"/>
    </row>
    <row r="345" spans="1:9" ht="15.9" customHeight="1" collapsed="1" x14ac:dyDescent="0.3">
      <c r="A345" s="12"/>
      <c r="B345" s="26" t="s">
        <v>1000</v>
      </c>
      <c r="C345" s="19"/>
      <c r="D345" s="11"/>
      <c r="E345" s="11"/>
      <c r="F345" s="11"/>
      <c r="G345" s="11"/>
      <c r="H345" s="11"/>
    </row>
    <row r="346" spans="1:9" ht="27" customHeight="1" x14ac:dyDescent="0.3">
      <c r="A346" s="12"/>
      <c r="C346" s="279" t="s">
        <v>1095</v>
      </c>
      <c r="D346" s="280"/>
      <c r="E346" s="280"/>
      <c r="F346" s="280"/>
      <c r="G346" s="280"/>
      <c r="H346" s="280"/>
      <c r="I346" s="280"/>
    </row>
    <row r="347" spans="1:9" ht="15.9" customHeight="1" x14ac:dyDescent="0.3">
      <c r="A347" s="12"/>
      <c r="B347" s="23"/>
      <c r="D347" s="11"/>
      <c r="E347" s="11"/>
      <c r="F347" s="11"/>
    </row>
    <row r="348" spans="1:9" ht="15.9" customHeight="1" x14ac:dyDescent="0.3">
      <c r="A348" s="12" t="s">
        <v>417</v>
      </c>
      <c r="B348" s="338" t="s">
        <v>1049</v>
      </c>
      <c r="C348" s="308"/>
      <c r="D348" s="308"/>
      <c r="E348" s="308"/>
      <c r="F348" s="308"/>
      <c r="G348" s="308"/>
      <c r="H348" s="345"/>
      <c r="I348" s="41" t="str">
        <f>_xlfn.CONCAT(_xlfn.XLOOKUP("[AircraftOperatorsVerificationReportChecks][0][AircraftOperatorsVerificationReportChecks]",Submission!$O:$O,Submission!$H:$N,""))</f>
        <v>Yes</v>
      </c>
    </row>
    <row r="349" spans="1:9" ht="15.9" customHeight="1" x14ac:dyDescent="0.3">
      <c r="A349" s="12"/>
      <c r="B349" s="275" t="s">
        <v>1097</v>
      </c>
      <c r="C349" s="276"/>
      <c r="D349" s="276"/>
      <c r="E349" s="276"/>
      <c r="F349" s="276"/>
      <c r="G349" s="276"/>
      <c r="H349" s="276"/>
      <c r="I349" s="276"/>
    </row>
    <row r="350" spans="1:9" ht="15.9" customHeight="1" x14ac:dyDescent="0.3">
      <c r="A350" s="12"/>
      <c r="B350" s="22"/>
      <c r="C350" s="434" t="s">
        <v>1098</v>
      </c>
      <c r="D350" s="434"/>
      <c r="E350" s="434"/>
      <c r="F350" s="434"/>
      <c r="G350" s="434"/>
      <c r="H350" s="434"/>
      <c r="I350" s="434"/>
    </row>
    <row r="351" spans="1:9" ht="15.9" customHeight="1" x14ac:dyDescent="0.3">
      <c r="A351" s="12"/>
      <c r="C351" s="317" t="s">
        <v>1099</v>
      </c>
      <c r="D351" s="328"/>
      <c r="E351" s="328"/>
      <c r="F351" s="328"/>
      <c r="G351" s="328"/>
      <c r="H351" s="328"/>
      <c r="I351" s="329"/>
    </row>
    <row r="352" spans="1:9" s="79" customFormat="1" ht="30" customHeight="1" x14ac:dyDescent="0.3">
      <c r="A352" s="131"/>
      <c r="C352" s="249" t="s">
        <v>1052</v>
      </c>
      <c r="D352" s="272"/>
      <c r="E352" s="272"/>
      <c r="F352" s="273"/>
      <c r="G352" s="138" t="str">
        <f>_xlfn.CONCAT(_xlfn.XLOOKUP("[S06_AircraftOperatorsVerificationEmissionReportChecks1][1][PercentageShare]",Submission!$O:$O,Submission!$H:$N,""))</f>
        <v>1</v>
      </c>
      <c r="H352" s="426"/>
      <c r="I352" s="427"/>
    </row>
    <row r="353" spans="1:9" s="79" customFormat="1" ht="30" customHeight="1" x14ac:dyDescent="0.3">
      <c r="A353" s="131"/>
      <c r="C353" s="249" t="s">
        <v>1053</v>
      </c>
      <c r="D353" s="272"/>
      <c r="E353" s="272"/>
      <c r="F353" s="273"/>
      <c r="G353" s="138" t="str">
        <f>_xlfn.CONCAT(_xlfn.XLOOKUP("[S06_AircraftOperatorsVerificationEmissionReportChecks1][2][PercentageShare]",Submission!$O:$O,Submission!$H:$N,""))</f>
        <v>0.5</v>
      </c>
      <c r="H353" s="426"/>
      <c r="I353" s="427"/>
    </row>
    <row r="354" spans="1:9" s="79" customFormat="1" ht="30" customHeight="1" x14ac:dyDescent="0.3">
      <c r="A354" s="131"/>
      <c r="C354" s="249" t="s">
        <v>1055</v>
      </c>
      <c r="D354" s="272"/>
      <c r="E354" s="272"/>
      <c r="F354" s="273"/>
      <c r="G354" s="138" t="str">
        <f>_xlfn.CONCAT(_xlfn.XLOOKUP("[S06_AircraftOperatorsVerificationEmissionReportChecks1][3][PercentageShare]",Submission!$O:$O,Submission!$H:$N,""))</f>
        <v>0</v>
      </c>
      <c r="H354" s="255" t="str">
        <f>_xlfn.CONCAT(_xlfn.XLOOKUP("[S06_AircraftOperatorsVerificationEmissionReportChecks1][3][FurtherInformation]",Submission!$O:$O,Submission!$H:$N,""))</f>
        <v/>
      </c>
      <c r="I354" s="256"/>
    </row>
    <row r="355" spans="1:9" s="79" customFormat="1" ht="43.2" customHeight="1" x14ac:dyDescent="0.3">
      <c r="A355" s="131"/>
      <c r="C355" s="249" t="s">
        <v>1100</v>
      </c>
      <c r="D355" s="272"/>
      <c r="E355" s="272"/>
      <c r="F355" s="273"/>
      <c r="G355" s="138" t="str">
        <f>_xlfn.CONCAT(_xlfn.XLOOKUP("[S06_AircraftOperatorsVerificationEmissionReportChecks1][4][PercentageShare]",Submission!$O:$O,Submission!$H:$N,""))</f>
        <v>0</v>
      </c>
      <c r="H355" s="129" t="str">
        <f>_xlfn.CONCAT(_xlfn.XLOOKUP("[S06_AircraftOperatorsVerificationEmissionReportChecks1][4][SelectingCriteria]",Submission!$O:$O,Submission!$H:$N,""))</f>
        <v/>
      </c>
      <c r="I355" s="130" t="str">
        <f>_xlfn.CONCAT(_xlfn.XLOOKUP("[S06_AircraftOperatorsVerificationEmissionReportChecks1][4][FurtherInformation]",Submission!$O:$O,Submission!$H:$N,""))</f>
        <v/>
      </c>
    </row>
    <row r="356" spans="1:9" s="79" customFormat="1" ht="30" customHeight="1" x14ac:dyDescent="0.3">
      <c r="A356" s="131"/>
      <c r="C356" s="249" t="s">
        <v>1101</v>
      </c>
      <c r="D356" s="272"/>
      <c r="E356" s="272"/>
      <c r="F356" s="273"/>
      <c r="G356" s="139" t="str">
        <f>_xlfn.CONCAT(_xlfn.XLOOKUP("[S06_AircraftOperatorsVerificationEmissionReportChecks2][1][NumberOfReports]",Submission!$O:$O,Submission!$H:$N,""))</f>
        <v>0</v>
      </c>
      <c r="H356" s="426"/>
      <c r="I356" s="427"/>
    </row>
    <row r="357" spans="1:9" s="79" customFormat="1" ht="30" customHeight="1" x14ac:dyDescent="0.3">
      <c r="A357" s="131"/>
      <c r="C357" s="249" t="s">
        <v>1102</v>
      </c>
      <c r="D357" s="272"/>
      <c r="E357" s="272"/>
      <c r="F357" s="273"/>
      <c r="G357" s="139" t="str">
        <f>_xlfn.CONCAT(_xlfn.XLOOKUP("[S06_AircraftOperatorsVerificationEmissionReportChecks2][2][NumberOfReports]",Submission!$O:$O,Submission!$H:$N,""))</f>
        <v>0</v>
      </c>
      <c r="H357" s="255" t="str">
        <f>_xlfn.CONCAT(_xlfn.XLOOKUP("[S06_AircraftOperatorsVerificationEmissionReportChecks2][2][FurtherInformation]",Submission!$O:$O,Submission!$H:$N,""))</f>
        <v/>
      </c>
      <c r="I357" s="256"/>
    </row>
    <row r="358" spans="1:9" s="79" customFormat="1" ht="30" customHeight="1" x14ac:dyDescent="0.3">
      <c r="A358" s="131"/>
      <c r="C358" s="249" t="s">
        <v>1059</v>
      </c>
      <c r="D358" s="272"/>
      <c r="E358" s="272"/>
      <c r="F358" s="273"/>
      <c r="G358" s="258" t="str">
        <f>_xlfn.CONCAT(_xlfn.XLOOKUP("[S06_AircraftOperatorsVerificationEmissionReportChecks3][1][ActionsTaken]",Submission!$O:$O,Submission!$H:$N,""))</f>
        <v>No measures - all reports accepted</v>
      </c>
      <c r="H358" s="353"/>
      <c r="I358" s="260"/>
    </row>
    <row r="359" spans="1:9" s="79" customFormat="1" ht="30" customHeight="1" x14ac:dyDescent="0.3">
      <c r="A359" s="131"/>
      <c r="C359" s="249" t="s">
        <v>1060</v>
      </c>
      <c r="D359" s="272"/>
      <c r="E359" s="272"/>
      <c r="F359" s="273"/>
      <c r="G359" s="258" t="str">
        <f>_xlfn.CONCAT(_xlfn.XLOOKUP("[S06_AircraftOperatorsVerificationEmissionReportChecks3][2][ActionsTaken]",Submission!$O:$O,Submission!$H:$N,""))</f>
        <v>No measures - all reports accepted</v>
      </c>
      <c r="H359" s="353"/>
      <c r="I359" s="260"/>
    </row>
    <row r="360" spans="1:9" ht="15.9" customHeight="1" x14ac:dyDescent="0.3">
      <c r="A360" s="12"/>
      <c r="C360" s="397" t="s">
        <v>1103</v>
      </c>
      <c r="D360" s="397"/>
      <c r="E360" s="397"/>
      <c r="F360" s="397"/>
      <c r="G360" s="397"/>
      <c r="H360" s="397"/>
      <c r="I360" s="397"/>
    </row>
    <row r="361" spans="1:9" ht="9.75" customHeight="1" x14ac:dyDescent="0.3">
      <c r="A361" s="13"/>
      <c r="C361" s="11"/>
      <c r="D361" s="11"/>
      <c r="E361" s="11"/>
      <c r="F361" s="11"/>
      <c r="G361" s="11"/>
      <c r="H361" s="11"/>
      <c r="I361" s="11"/>
    </row>
    <row r="362" spans="1:9" ht="15.9" customHeight="1" x14ac:dyDescent="0.3">
      <c r="A362" s="12"/>
      <c r="B362" s="22"/>
      <c r="C362" s="434" t="s">
        <v>1104</v>
      </c>
      <c r="D362" s="434"/>
      <c r="E362" s="434"/>
      <c r="F362" s="434"/>
      <c r="G362" s="434"/>
      <c r="H362" s="434"/>
      <c r="I362" s="434"/>
    </row>
    <row r="363" spans="1:9" ht="15.9" customHeight="1" x14ac:dyDescent="0.3">
      <c r="A363" s="12"/>
      <c r="C363" s="317" t="s">
        <v>1105</v>
      </c>
      <c r="D363" s="370"/>
      <c r="E363" s="370"/>
      <c r="F363" s="370"/>
      <c r="G363" s="370"/>
      <c r="H363" s="370"/>
      <c r="I363" s="318"/>
    </row>
    <row r="364" spans="1:9" s="58" customFormat="1" ht="29.4" customHeight="1" x14ac:dyDescent="0.3">
      <c r="A364" s="57"/>
      <c r="C364" s="249" t="s">
        <v>1106</v>
      </c>
      <c r="D364" s="272"/>
      <c r="E364" s="272"/>
      <c r="F364" s="273"/>
      <c r="G364" s="138" t="str">
        <f>_xlfn.CONCAT(_xlfn.XLOOKUP("[S06_AircraftOperatorsVerificationTKMReportChecks1][1][PercentageShare]",Submission!$O:$O,Submission!$H:$N,""))</f>
        <v>0</v>
      </c>
      <c r="H364" s="426"/>
      <c r="I364" s="427"/>
    </row>
    <row r="365" spans="1:9" s="58" customFormat="1" ht="29.4" customHeight="1" x14ac:dyDescent="0.3">
      <c r="A365" s="57"/>
      <c r="C365" s="249" t="s">
        <v>1107</v>
      </c>
      <c r="D365" s="272"/>
      <c r="E365" s="272"/>
      <c r="F365" s="273"/>
      <c r="G365" s="138" t="str">
        <f>_xlfn.CONCAT(_xlfn.XLOOKUP("[S06_AircraftOperatorsVerificationTKMReportChecks1][2][PercentageShare]",Submission!$O:$O,Submission!$H:$N,""))</f>
        <v>0</v>
      </c>
      <c r="H365" s="426"/>
      <c r="I365" s="427"/>
    </row>
    <row r="366" spans="1:9" s="58" customFormat="1" ht="29.4" customHeight="1" x14ac:dyDescent="0.3">
      <c r="A366" s="57"/>
      <c r="C366" s="249" t="s">
        <v>1108</v>
      </c>
      <c r="D366" s="272"/>
      <c r="E366" s="272"/>
      <c r="F366" s="273"/>
      <c r="G366" s="138" t="str">
        <f>_xlfn.CONCAT(_xlfn.XLOOKUP("[S06_AircraftOperatorsVerificationTKMReportChecks1][3][PercentageShare]",Submission!$O:$O,Submission!$H:$N,""))</f>
        <v>0</v>
      </c>
      <c r="H366" s="255" t="str">
        <f>_xlfn.CONCAT(_xlfn.XLOOKUP("[S06_AircraftOperatorsVerificationTKMReportChecks1][3][FurtherInformation]",Submission!$O:$O,Submission!$H:$N,""))</f>
        <v/>
      </c>
      <c r="I366" s="256"/>
    </row>
    <row r="367" spans="1:9" s="58" customFormat="1" ht="48" customHeight="1" x14ac:dyDescent="0.3">
      <c r="A367" s="57"/>
      <c r="C367" s="249" t="s">
        <v>1109</v>
      </c>
      <c r="D367" s="272"/>
      <c r="E367" s="272"/>
      <c r="F367" s="273"/>
      <c r="G367" s="138" t="str">
        <f>_xlfn.CONCAT(_xlfn.XLOOKUP("[S06_AircraftOperatorsVerificationTKMReportChecks1][4][PercentageShare]",Submission!$O:$O,Submission!$H:$N,""))</f>
        <v>0</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9" t="s">
        <v>1110</v>
      </c>
      <c r="D368" s="272"/>
      <c r="E368" s="272"/>
      <c r="F368" s="273"/>
      <c r="G368" s="139" t="str">
        <f>_xlfn.CONCAT(_xlfn.XLOOKUP("[S06_AircraftOperatorsVerificationTKMReportChecks2][1][NumberOfReports]",Submission!$O:$O,Submission!$H:$N,""))</f>
        <v>0</v>
      </c>
      <c r="H368" s="426"/>
      <c r="I368" s="427"/>
    </row>
    <row r="369" spans="1:11" s="58" customFormat="1" ht="29.4" customHeight="1" x14ac:dyDescent="0.3">
      <c r="A369" s="57"/>
      <c r="C369" s="249" t="s">
        <v>1111</v>
      </c>
      <c r="D369" s="272"/>
      <c r="E369" s="272"/>
      <c r="F369" s="273"/>
      <c r="G369" s="139" t="str">
        <f>_xlfn.CONCAT(_xlfn.XLOOKUP("[S06_AircraftOperatorsVerificationTKMReportChecks2][2][NumberOfReports]",Submission!$O:$O,Submission!$H:$N,""))</f>
        <v>0</v>
      </c>
      <c r="H369" s="255" t="str">
        <f>_xlfn.CONCAT(_xlfn.XLOOKUP("[S06_AircraftOperatorsVerificationTKMReportChecks2][2][FurtherInformation]",Submission!$O:$O,Submission!$H:$N,""))</f>
        <v/>
      </c>
      <c r="I369" s="256"/>
    </row>
    <row r="370" spans="1:11" s="58" customFormat="1" ht="29.4" customHeight="1" x14ac:dyDescent="0.3">
      <c r="A370" s="57"/>
      <c r="C370" s="249" t="s">
        <v>1112</v>
      </c>
      <c r="D370" s="272"/>
      <c r="E370" s="272"/>
      <c r="F370" s="273"/>
      <c r="G370" s="258" t="str">
        <f>_xlfn.CONCAT(_xlfn.XLOOKUP("[S06_AircraftOperatorsVerificationTKMReportChecks3][1][ActionsTaken]",Submission!$O:$O,Submission!$H:$N,""))</f>
        <v>0</v>
      </c>
      <c r="H370" s="353"/>
      <c r="I370" s="260"/>
    </row>
    <row r="371" spans="1:11" ht="15.9" customHeight="1" x14ac:dyDescent="0.3">
      <c r="A371" s="12"/>
      <c r="C371" s="397" t="s">
        <v>1113</v>
      </c>
      <c r="D371" s="398"/>
      <c r="E371" s="398"/>
      <c r="F371" s="398"/>
      <c r="G371" s="398"/>
      <c r="H371" s="398"/>
      <c r="I371" s="398"/>
    </row>
    <row r="372" spans="1:11" ht="15.9" customHeight="1" x14ac:dyDescent="0.3">
      <c r="A372" s="13"/>
      <c r="C372" s="29"/>
      <c r="D372" s="29"/>
      <c r="E372" s="11"/>
      <c r="F372" s="11"/>
    </row>
    <row r="373" spans="1:11" ht="15.9" customHeight="1" x14ac:dyDescent="0.3">
      <c r="A373" s="12" t="s">
        <v>423</v>
      </c>
      <c r="B373" s="338" t="s">
        <v>1114</v>
      </c>
      <c r="C373" s="308"/>
      <c r="D373" s="308"/>
      <c r="E373" s="308"/>
      <c r="F373" s="308"/>
      <c r="G373" s="308"/>
      <c r="H373" s="345"/>
      <c r="I373" s="41" t="str">
        <f>_xlfn.CONCAT(_xlfn.XLOOKUP("[AircraftOperatorsVisitsWaivedLowEmitters][0][AircraftOperatorsVisitsWaivedLowEmitters]",Submission!$O:$O,Submission!$H:$N,""))</f>
        <v>No</v>
      </c>
    </row>
    <row r="374" spans="1:11" ht="18.600000000000001" customHeight="1" x14ac:dyDescent="0.3">
      <c r="B374" s="338" t="s">
        <v>1115</v>
      </c>
      <c r="C374" s="308"/>
      <c r="D374" s="308"/>
      <c r="E374" s="308"/>
      <c r="F374" s="308"/>
      <c r="G374" s="308"/>
      <c r="H374" s="308"/>
      <c r="I374" s="308"/>
    </row>
    <row r="375" spans="1:11" ht="15.9" customHeight="1" x14ac:dyDescent="0.3">
      <c r="B375" s="11"/>
      <c r="C375" s="422" t="s">
        <v>1116</v>
      </c>
      <c r="D375" s="423"/>
      <c r="E375" s="423"/>
      <c r="F375" s="423"/>
      <c r="G375" s="423"/>
      <c r="H375" s="424" t="str">
        <f>_xlfn.CONCAT(_xlfn.XLOOKUP("[AircraftOperatorsVisitsWaivedLowEmittersDetail][0][AircraftOperatorsVisitsWaivedLowEmittersDetail]",Submission!$O:$O,Submission!$H:$N,""))</f>
        <v>0</v>
      </c>
      <c r="I375" s="425"/>
    </row>
    <row r="377" spans="1:11" ht="15.9" customHeight="1" x14ac:dyDescent="0.3">
      <c r="A377" s="12" t="s">
        <v>428</v>
      </c>
      <c r="B377" s="338" t="s">
        <v>1069</v>
      </c>
      <c r="C377" s="308"/>
      <c r="D377" s="308"/>
      <c r="E377" s="308"/>
      <c r="F377" s="308"/>
      <c r="G377" s="308"/>
      <c r="H377" s="345"/>
      <c r="I377" s="41" t="str">
        <f>_xlfn.CONCAT(_xlfn.XLOOKUP("[VirtualVisitsAircraft][0][VirtualVisitsAircraft]",Submission!$O:$O,Submission!$H:$N,""))</f>
        <v>No</v>
      </c>
    </row>
    <row r="378" spans="1:11" ht="15.9" customHeight="1" x14ac:dyDescent="0.3">
      <c r="B378" s="338" t="s">
        <v>1070</v>
      </c>
      <c r="C378" s="308"/>
      <c r="D378" s="308"/>
      <c r="E378" s="308"/>
      <c r="F378" s="308"/>
      <c r="G378" s="308"/>
      <c r="H378" s="308"/>
      <c r="I378" s="308"/>
    </row>
    <row r="379" spans="1:11" ht="15.9" customHeight="1" x14ac:dyDescent="0.3">
      <c r="B379" s="15" t="s">
        <v>8</v>
      </c>
      <c r="C379" s="339" t="s">
        <v>1117</v>
      </c>
      <c r="D379" s="339"/>
      <c r="E379" s="339"/>
      <c r="F379" s="339"/>
      <c r="G379" s="339"/>
      <c r="H379" s="339"/>
      <c r="I379" s="339"/>
    </row>
    <row r="380" spans="1:11" ht="15.9" customHeight="1" x14ac:dyDescent="0.3">
      <c r="B380" s="15" t="s">
        <v>8</v>
      </c>
      <c r="C380" s="339" t="s">
        <v>1072</v>
      </c>
      <c r="D380" s="339"/>
      <c r="E380" s="339"/>
      <c r="F380" s="339"/>
      <c r="G380" s="339"/>
      <c r="H380" s="339"/>
      <c r="I380" s="339"/>
      <c r="K380" s="178"/>
    </row>
    <row r="381" spans="1:11" ht="15.9" customHeight="1" x14ac:dyDescent="0.3">
      <c r="B381" s="15" t="s">
        <v>8</v>
      </c>
      <c r="C381" s="327" t="s">
        <v>1073</v>
      </c>
      <c r="D381" s="327"/>
      <c r="E381" s="327"/>
      <c r="F381" s="327"/>
      <c r="G381" s="327"/>
      <c r="H381" s="327"/>
      <c r="I381" s="327"/>
    </row>
    <row r="382" spans="1:11" ht="31.2" customHeight="1" x14ac:dyDescent="0.3">
      <c r="A382" s="12"/>
      <c r="B382" s="15"/>
      <c r="C382" s="46" t="s">
        <v>1074</v>
      </c>
      <c r="D382" s="317" t="s">
        <v>1118</v>
      </c>
      <c r="E382" s="329"/>
      <c r="F382" s="317" t="s">
        <v>1076</v>
      </c>
      <c r="G382" s="329"/>
      <c r="H382" s="317" t="s">
        <v>1077</v>
      </c>
      <c r="I382" s="329"/>
    </row>
    <row r="383" spans="1:11" ht="25.2" customHeight="1" x14ac:dyDescent="0.3">
      <c r="C383" s="72" t="str">
        <f>_xlfn.CONCAT(_xlfn.XLOOKUP("[S06_VirtualVisitsAircraftDetails][1][TypeForceMajeur]",Submission!$O:$O,Submission!$H:$N,""))</f>
        <v/>
      </c>
      <c r="D383" s="351" t="str">
        <f>_xlfn.CONCAT(_xlfn.XLOOKUP("[S06_VirtualVisitsAircraftDetails][1][NumberOfAirOperatorsVV]",Submission!$O:$O,Submission!$H:$N,""))</f>
        <v/>
      </c>
      <c r="E383" s="361"/>
      <c r="F383" s="258" t="str">
        <f>_xlfn.CONCAT(_xlfn.XLOOKUP("[S06_VirtualVisitsAircraftDetails][1][AuthorityApproval]",Submission!$O:$O,Submission!$H:$N,""))</f>
        <v/>
      </c>
      <c r="G383" s="260"/>
      <c r="H383" s="258" t="str">
        <f>_xlfn.CONCAT(_xlfn.XLOOKUP("[S06_VirtualVisitsAircraftDetails][1][ConfirmationConditionsMet]",Submission!$O:$O,Submission!$H:$N,""))</f>
        <v/>
      </c>
      <c r="I383" s="260"/>
    </row>
    <row r="384" spans="1:11" ht="25.2" customHeight="1" x14ac:dyDescent="0.3">
      <c r="C384" s="72" t="str">
        <f>_xlfn.CONCAT(_xlfn.XLOOKUP("[S06_VirtualVisitsAircraftDetails][2][TypeForceMajeur]",Submission!$O:$O,Submission!$H:$N,""))</f>
        <v/>
      </c>
      <c r="D384" s="351" t="str">
        <f>_xlfn.CONCAT(_xlfn.XLOOKUP("[S06_VirtualVisitsAircraftDetails][2][NumberOfAirOperatorsVV]",Submission!$O:$O,Submission!$H:$N,""))</f>
        <v/>
      </c>
      <c r="E384" s="361"/>
      <c r="F384" s="258" t="str">
        <f>_xlfn.CONCAT(_xlfn.XLOOKUP("[S06_VirtualVisitsAircraftDetails][2][AuthorityApproval]",Submission!$O:$O,Submission!$H:$N,""))</f>
        <v/>
      </c>
      <c r="G384" s="260"/>
      <c r="H384" s="258" t="str">
        <f>_xlfn.CONCAT(_xlfn.XLOOKUP("[S06_VirtualVisitsAircraftDetails][2][ConfirmationConditionsMet]",Submission!$O:$O,Submission!$H:$N,""))</f>
        <v/>
      </c>
      <c r="I384" s="260"/>
    </row>
    <row r="385" spans="1:9" ht="25.2" customHeight="1" x14ac:dyDescent="0.3">
      <c r="C385" s="72" t="str">
        <f>_xlfn.CONCAT(_xlfn.XLOOKUP("[S06_VirtualVisitsAircraftDetails][3][TypeForceMajeur]",Submission!$O:$O,Submission!$H:$N,""))</f>
        <v/>
      </c>
      <c r="D385" s="351" t="str">
        <f>_xlfn.CONCAT(_xlfn.XLOOKUP("[S06_VirtualVisitsAircraftDetails][3][NumberOfAirOperatorsVV]",Submission!$O:$O,Submission!$H:$N,""))</f>
        <v/>
      </c>
      <c r="E385" s="361"/>
      <c r="F385" s="258" t="str">
        <f>_xlfn.CONCAT(_xlfn.XLOOKUP("[S06_VirtualVisitsAircraftDetails][3][AuthorityApproval]",Submission!$O:$O,Submission!$H:$N,""))</f>
        <v/>
      </c>
      <c r="G385" s="260"/>
      <c r="H385" s="258" t="str">
        <f>_xlfn.CONCAT(_xlfn.XLOOKUP("[S06_VirtualVisitsAircraftDetails][3][ConfirmationConditionsMet]",Submission!$O:$O,Submission!$H:$N,""))</f>
        <v/>
      </c>
      <c r="I385" s="260"/>
    </row>
    <row r="386" spans="1:9" ht="25.2" customHeight="1" x14ac:dyDescent="0.3">
      <c r="C386" s="72" t="str">
        <f>_xlfn.CONCAT(_xlfn.XLOOKUP("[S06_VirtualVisitsAircraftDetails][4][TypeForceMajeur]",Submission!$O:$O,Submission!$H:$N,""))</f>
        <v/>
      </c>
      <c r="D386" s="351" t="str">
        <f>_xlfn.CONCAT(_xlfn.XLOOKUP("[S06_VirtualVisitsAircraftDetails][4][NumberOfAirOperatorsVV]",Submission!$O:$O,Submission!$H:$N,""))</f>
        <v/>
      </c>
      <c r="E386" s="361"/>
      <c r="F386" s="258" t="str">
        <f>_xlfn.CONCAT(_xlfn.XLOOKUP("[S06_VirtualVisitsAircraftDetails][4][AuthorityApproval]",Submission!$O:$O,Submission!$H:$N,""))</f>
        <v/>
      </c>
      <c r="G386" s="260"/>
      <c r="H386" s="258" t="str">
        <f>_xlfn.CONCAT(_xlfn.XLOOKUP("[S06_VirtualVisitsAircraftDetails][4][ConfirmationConditionsMet]",Submission!$O:$O,Submission!$H:$N,""))</f>
        <v/>
      </c>
      <c r="I386" s="260"/>
    </row>
    <row r="387" spans="1:9" ht="25.2" hidden="1" customHeight="1" outlineLevel="1" x14ac:dyDescent="0.3">
      <c r="C387" s="72" t="str">
        <f>_xlfn.CONCAT(_xlfn.XLOOKUP("[S06_VirtualVisitsAircraftDetails][5][TypeForceMajeur]",Submission!$O:$O,Submission!$H:$N,""))</f>
        <v/>
      </c>
      <c r="D387" s="351" t="str">
        <f>_xlfn.CONCAT(_xlfn.XLOOKUP("[S06_VirtualVisitsAircraftDetails][5][NumberOfAirOperatorsVV]",Submission!$O:$O,Submission!$H:$N,""))</f>
        <v/>
      </c>
      <c r="E387" s="361"/>
      <c r="F387" s="258" t="str">
        <f>_xlfn.CONCAT(_xlfn.XLOOKUP("[S06_VirtualVisitsAircraftDetails][5][AuthorityApproval]",Submission!$O:$O,Submission!$H:$N,""))</f>
        <v/>
      </c>
      <c r="G387" s="260"/>
      <c r="H387" s="258" t="str">
        <f>_xlfn.CONCAT(_xlfn.XLOOKUP("[S06_VirtualVisitsAircraftDetails][5][ConfirmationConditionsMet]",Submission!$O:$O,Submission!$H:$N,""))</f>
        <v/>
      </c>
      <c r="I387" s="260"/>
    </row>
    <row r="388" spans="1:9" ht="25.2" hidden="1" customHeight="1" outlineLevel="1" x14ac:dyDescent="0.3">
      <c r="C388" s="72" t="str">
        <f>_xlfn.CONCAT(_xlfn.XLOOKUP("[S06_VirtualVisitsAircraftDetails][6][TypeForceMajeur]",Submission!$O:$O,Submission!$H:$N,""))</f>
        <v/>
      </c>
      <c r="D388" s="351" t="str">
        <f>_xlfn.CONCAT(_xlfn.XLOOKUP("[S06_VirtualVisitsAircraftDetails][6][NumberOfAirOperatorsVV]",Submission!$O:$O,Submission!$H:$N,""))</f>
        <v/>
      </c>
      <c r="E388" s="361"/>
      <c r="F388" s="258" t="str">
        <f>_xlfn.CONCAT(_xlfn.XLOOKUP("[S06_VirtualVisitsAircraftDetails][6][AuthorityApproval]",Submission!$O:$O,Submission!$H:$N,""))</f>
        <v/>
      </c>
      <c r="G388" s="260"/>
      <c r="H388" s="258" t="str">
        <f>_xlfn.CONCAT(_xlfn.XLOOKUP("[S06_VirtualVisitsAircraftDetails][6][ConfirmationConditionsMet]",Submission!$O:$O,Submission!$H:$N,""))</f>
        <v/>
      </c>
      <c r="I388" s="260"/>
    </row>
    <row r="389" spans="1:9" ht="25.2" hidden="1" customHeight="1" outlineLevel="1" x14ac:dyDescent="0.3">
      <c r="C389" s="72" t="str">
        <f>_xlfn.CONCAT(_xlfn.XLOOKUP("[S06_VirtualVisitsAircraftDetails][7][TypeForceMajeur]",Submission!$O:$O,Submission!$H:$N,""))</f>
        <v/>
      </c>
      <c r="D389" s="351" t="str">
        <f>_xlfn.CONCAT(_xlfn.XLOOKUP("[S06_VirtualVisitsAircraftDetails][7][NumberOfAirOperatorsVV]",Submission!$O:$O,Submission!$H:$N,""))</f>
        <v/>
      </c>
      <c r="E389" s="361"/>
      <c r="F389" s="258" t="str">
        <f>_xlfn.CONCAT(_xlfn.XLOOKUP("[S06_VirtualVisitsAircraftDetails][7][AuthorityApproval]",Submission!$O:$O,Submission!$H:$N,""))</f>
        <v/>
      </c>
      <c r="G389" s="260"/>
      <c r="H389" s="258" t="str">
        <f>_xlfn.CONCAT(_xlfn.XLOOKUP("[S06_VirtualVisitsAircraftDetails][7][ConfirmationConditionsMet]",Submission!$O:$O,Submission!$H:$N,""))</f>
        <v/>
      </c>
      <c r="I389" s="260"/>
    </row>
    <row r="390" spans="1:9" ht="25.2" hidden="1" customHeight="1" outlineLevel="1" x14ac:dyDescent="0.3">
      <c r="C390" s="72" t="str">
        <f>_xlfn.CONCAT(_xlfn.XLOOKUP("[S06_VirtualVisitsAircraftDetails][8][TypeForceMajeur]",Submission!$O:$O,Submission!$H:$N,""))</f>
        <v/>
      </c>
      <c r="D390" s="351" t="str">
        <f>_xlfn.CONCAT(_xlfn.XLOOKUP("[S06_VirtualVisitsAircraftDetails][8][NumberOfAirOperatorsVV]",Submission!$O:$O,Submission!$H:$N,""))</f>
        <v/>
      </c>
      <c r="E390" s="361"/>
      <c r="F390" s="258" t="str">
        <f>_xlfn.CONCAT(_xlfn.XLOOKUP("[S06_VirtualVisitsAircraftDetails][8][AuthorityApproval]",Submission!$O:$O,Submission!$H:$N,""))</f>
        <v/>
      </c>
      <c r="G390" s="260"/>
      <c r="H390" s="258" t="str">
        <f>_xlfn.CONCAT(_xlfn.XLOOKUP("[S06_VirtualVisitsAircraftDetails][8][ConfirmationConditionsMet]",Submission!$O:$O,Submission!$H:$N,""))</f>
        <v/>
      </c>
      <c r="I390" s="260"/>
    </row>
    <row r="391" spans="1:9" ht="25.2" hidden="1" customHeight="1" outlineLevel="1" x14ac:dyDescent="0.3">
      <c r="C391" s="72" t="str">
        <f>_xlfn.CONCAT(_xlfn.XLOOKUP("[S06_VirtualVisitsAircraftDetails][9][TypeForceMajeur]",Submission!$O:$O,Submission!$H:$N,""))</f>
        <v/>
      </c>
      <c r="D391" s="351" t="str">
        <f>_xlfn.CONCAT(_xlfn.XLOOKUP("[S06_VirtualVisitsAircraftDetails][9][NumberOfAirOperatorsVV]",Submission!$O:$O,Submission!$H:$N,""))</f>
        <v/>
      </c>
      <c r="E391" s="361"/>
      <c r="F391" s="258" t="str">
        <f>_xlfn.CONCAT(_xlfn.XLOOKUP("[S06_VirtualVisitsAircraftDetails][9][AuthorityApproval]",Submission!$O:$O,Submission!$H:$N,""))</f>
        <v/>
      </c>
      <c r="G391" s="260"/>
      <c r="H391" s="258" t="str">
        <f>_xlfn.CONCAT(_xlfn.XLOOKUP("[S06_VirtualVisitsAircraftDetails][9][ConfirmationConditionsMet]",Submission!$O:$O,Submission!$H:$N,""))</f>
        <v/>
      </c>
      <c r="I391" s="260"/>
    </row>
    <row r="392" spans="1:9" ht="25.2" hidden="1" customHeight="1" outlineLevel="1" x14ac:dyDescent="0.3">
      <c r="C392" s="72" t="str">
        <f>_xlfn.CONCAT(_xlfn.XLOOKUP("[S06_VirtualVisitsAircraftDetails][10][TypeForceMajeur]",Submission!$O:$O,Submission!$H:$N,""))</f>
        <v/>
      </c>
      <c r="D392" s="351" t="str">
        <f>_xlfn.CONCAT(_xlfn.XLOOKUP("[S06_VirtualVisitsAircraftDetails][10][NumberOfAirOperatorsVV]",Submission!$O:$O,Submission!$H:$N,""))</f>
        <v/>
      </c>
      <c r="E392" s="361"/>
      <c r="F392" s="258" t="str">
        <f>_xlfn.CONCAT(_xlfn.XLOOKUP("[S06_VirtualVisitsAircraftDetails][10][AuthorityApproval]",Submission!$O:$O,Submission!$H:$N,""))</f>
        <v/>
      </c>
      <c r="G392" s="260"/>
      <c r="H392" s="258" t="str">
        <f>_xlfn.CONCAT(_xlfn.XLOOKUP("[S06_VirtualVisitsAircraftDetails][10][ConfirmationConditionsMet]",Submission!$O:$O,Submission!$H:$N,""))</f>
        <v/>
      </c>
      <c r="I392" s="260"/>
    </row>
    <row r="393" spans="1:9" ht="25.2" hidden="1" customHeight="1" outlineLevel="1" x14ac:dyDescent="0.3">
      <c r="C393" s="72" t="str">
        <f>_xlfn.CONCAT(_xlfn.XLOOKUP("[S06_VirtualVisitsAircraftDetails][11][TypeForceMajeur]",Submission!$O:$O,Submission!$H:$N,""))</f>
        <v/>
      </c>
      <c r="D393" s="351" t="str">
        <f>_xlfn.CONCAT(_xlfn.XLOOKUP("[S06_VirtualVisitsAircraftDetails][11][NumberOfAirOperatorsVV]",Submission!$O:$O,Submission!$H:$N,""))</f>
        <v/>
      </c>
      <c r="E393" s="361"/>
      <c r="F393" s="258" t="str">
        <f>_xlfn.CONCAT(_xlfn.XLOOKUP("[S06_VirtualVisitsAircraftDetails][11][AuthorityApproval]",Submission!$O:$O,Submission!$H:$N,""))</f>
        <v/>
      </c>
      <c r="G393" s="260"/>
      <c r="H393" s="258" t="str">
        <f>_xlfn.CONCAT(_xlfn.XLOOKUP("[S06_VirtualVisitsAircraftDetails][11][ConfirmationConditionsMet]",Submission!$O:$O,Submission!$H:$N,""))</f>
        <v/>
      </c>
      <c r="I393" s="260"/>
    </row>
    <row r="394" spans="1:9" ht="25.2" hidden="1" customHeight="1" outlineLevel="1" x14ac:dyDescent="0.3">
      <c r="C394" s="72" t="str">
        <f>_xlfn.CONCAT(_xlfn.XLOOKUP("[S06_VirtualVisitsAircraftDetails][12][TypeForceMajeur]",Submission!$O:$O,Submission!$H:$N,""))</f>
        <v/>
      </c>
      <c r="D394" s="351" t="str">
        <f>_xlfn.CONCAT(_xlfn.XLOOKUP("[S06_VirtualVisitsAircraftDetails][12][NumberOfAirOperatorsVV]",Submission!$O:$O,Submission!$H:$N,""))</f>
        <v/>
      </c>
      <c r="E394" s="361"/>
      <c r="F394" s="258" t="str">
        <f>_xlfn.CONCAT(_xlfn.XLOOKUP("[S06_VirtualVisitsAircraftDetails][12][AuthorityApproval]",Submission!$O:$O,Submission!$H:$N,""))</f>
        <v/>
      </c>
      <c r="G394" s="260"/>
      <c r="H394" s="258" t="str">
        <f>_xlfn.CONCAT(_xlfn.XLOOKUP("[S06_VirtualVisitsAircraftDetails][12][ConfirmationConditionsMet]",Submission!$O:$O,Submission!$H:$N,""))</f>
        <v/>
      </c>
      <c r="I394" s="260"/>
    </row>
    <row r="395" spans="1:9" ht="15.9" customHeight="1" collapsed="1" x14ac:dyDescent="0.3">
      <c r="A395" s="13"/>
      <c r="B395" s="26" t="s">
        <v>1000</v>
      </c>
      <c r="C395" s="19"/>
      <c r="D395" s="11"/>
      <c r="E395" s="11"/>
      <c r="F395" s="11"/>
      <c r="G395" s="11"/>
      <c r="H395" s="11"/>
    </row>
    <row r="396" spans="1:9" ht="15.9" customHeight="1" x14ac:dyDescent="0.3">
      <c r="A396" s="13"/>
      <c r="B396" s="418" t="s">
        <v>1078</v>
      </c>
      <c r="C396" s="418"/>
      <c r="D396" s="418"/>
      <c r="E396" s="418"/>
      <c r="F396" s="418"/>
      <c r="G396" s="418"/>
      <c r="H396" s="418"/>
      <c r="I396" s="418"/>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2023-05-30T00:11:29Z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