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08" documentId="8_{E13085B7-851C-4092-B607-9EA103783F90}" xr6:coauthVersionLast="47" xr6:coauthVersionMax="47" xr10:uidLastSave="{91CA8A93-8112-43DC-A7BE-216B6370AF1C}"/>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26" i="43" l="1"/>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l="1"/>
  <c r="AR2" i="8"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C1313" i="10"/>
  <c r="K4445" i="40" s="1"/>
  <c r="I1311" i="10"/>
  <c r="G5025" i="40" s="1"/>
  <c r="H1310" i="10"/>
  <c r="G1309" i="10"/>
  <c r="I4829" i="40" s="1"/>
  <c r="F1308" i="10"/>
  <c r="E1307" i="10"/>
  <c r="G4633" i="40" s="1"/>
  <c r="D1306" i="10"/>
  <c r="G4535" i="40" s="1"/>
  <c r="C1305" i="10"/>
  <c r="I1303" i="10"/>
  <c r="G5017" i="40" s="1"/>
  <c r="H1302" i="10"/>
  <c r="G1301" i="10"/>
  <c r="I4821" i="40" s="1"/>
  <c r="F1300" i="10"/>
  <c r="I4723" i="40" s="1"/>
  <c r="E1299" i="10"/>
  <c r="G4625" i="40" s="1"/>
  <c r="D1298" i="10"/>
  <c r="G4527" i="40" s="1"/>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K4446" i="40" s="1"/>
  <c r="I1312" i="10"/>
  <c r="G5026" i="40" s="1"/>
  <c r="H1311" i="10"/>
  <c r="K4928" i="40" s="1"/>
  <c r="G1310" i="10"/>
  <c r="I4830" i="40" s="1"/>
  <c r="F1309" i="10"/>
  <c r="E1308" i="10"/>
  <c r="G4634" i="40" s="1"/>
  <c r="D1307" i="10"/>
  <c r="C1306" i="10"/>
  <c r="K4438" i="40" s="1"/>
  <c r="I1304" i="10"/>
  <c r="G5018" i="40" s="1"/>
  <c r="H1303" i="10"/>
  <c r="K4920" i="40" s="1"/>
  <c r="G1302" i="10"/>
  <c r="I4822" i="40" s="1"/>
  <c r="F1301" i="10"/>
  <c r="I4724" i="40" s="1"/>
  <c r="E1300" i="10"/>
  <c r="G4626" i="40" s="1"/>
  <c r="D1299" i="10"/>
  <c r="G4528" i="40" s="1"/>
  <c r="C1298" i="10"/>
  <c r="I1296" i="10"/>
  <c r="G5010" i="40" s="1"/>
  <c r="H1295" i="10"/>
  <c r="K4912" i="40" s="1"/>
  <c r="G1294" i="10"/>
  <c r="I4814" i="40" s="1"/>
  <c r="F1293" i="10"/>
  <c r="I4716" i="40" s="1"/>
  <c r="E1292" i="10"/>
  <c r="G4618" i="40" s="1"/>
  <c r="D1291" i="10"/>
  <c r="C1290" i="10"/>
  <c r="K4422" i="40" s="1"/>
  <c r="I1288" i="10"/>
  <c r="H1287" i="10"/>
  <c r="K4904" i="40" s="1"/>
  <c r="G1286" i="10"/>
  <c r="I4806" i="40" s="1"/>
  <c r="F1285" i="10"/>
  <c r="I4708" i="40" s="1"/>
  <c r="E1284" i="10"/>
  <c r="G4610" i="40" s="1"/>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G5027" i="40" s="1"/>
  <c r="H1312" i="10"/>
  <c r="K4929" i="40" s="1"/>
  <c r="G1311" i="10"/>
  <c r="I4831" i="40" s="1"/>
  <c r="F1310" i="10"/>
  <c r="I4733" i="40" s="1"/>
  <c r="E1309" i="10"/>
  <c r="G4635" i="40" s="1"/>
  <c r="D1308" i="10"/>
  <c r="G4537" i="40" s="1"/>
  <c r="C1307" i="10"/>
  <c r="I1305" i="10"/>
  <c r="H1304" i="10"/>
  <c r="K4921" i="40" s="1"/>
  <c r="G1303" i="10"/>
  <c r="I4823" i="40" s="1"/>
  <c r="F1302" i="10"/>
  <c r="I4725" i="40" s="1"/>
  <c r="E1301" i="10"/>
  <c r="G4627" i="40" s="1"/>
  <c r="D1300" i="10"/>
  <c r="G4529" i="40" s="1"/>
  <c r="C1299" i="10"/>
  <c r="K4431" i="40" s="1"/>
  <c r="I1297" i="10"/>
  <c r="H1296" i="10"/>
  <c r="K4913" i="40" s="1"/>
  <c r="G1295" i="10"/>
  <c r="I4815" i="40" s="1"/>
  <c r="F1294" i="10"/>
  <c r="I4717" i="40" s="1"/>
  <c r="E1293" i="10"/>
  <c r="G4619" i="40" s="1"/>
  <c r="D1292" i="10"/>
  <c r="G4521" i="40" s="1"/>
  <c r="C1291" i="10"/>
  <c r="I1289" i="10"/>
  <c r="G5003" i="40" s="1"/>
  <c r="H1288" i="10"/>
  <c r="G1287" i="10"/>
  <c r="I4807" i="40" s="1"/>
  <c r="F1286" i="10"/>
  <c r="E1285" i="10"/>
  <c r="G4611" i="40" s="1"/>
  <c r="D1284" i="10"/>
  <c r="G4513" i="40" s="1"/>
  <c r="C1283" i="10"/>
  <c r="K4415" i="40" s="1"/>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K4448" i="40" s="1"/>
  <c r="I1314" i="10"/>
  <c r="G5028" i="40" s="1"/>
  <c r="H1313" i="10"/>
  <c r="K4930" i="40" s="1"/>
  <c r="G1312" i="10"/>
  <c r="I4832" i="40" s="1"/>
  <c r="F1311" i="10"/>
  <c r="I4734" i="40" s="1"/>
  <c r="E1310" i="10"/>
  <c r="G4636" i="40" s="1"/>
  <c r="D1309" i="10"/>
  <c r="G4538" i="40" s="1"/>
  <c r="C1308" i="10"/>
  <c r="K4440" i="40" s="1"/>
  <c r="I1306" i="10"/>
  <c r="G5020" i="40" s="1"/>
  <c r="H1305" i="10"/>
  <c r="K4922" i="40" s="1"/>
  <c r="G1304" i="10"/>
  <c r="I4824" i="40" s="1"/>
  <c r="F1303" i="10"/>
  <c r="I4726" i="40" s="1"/>
  <c r="E1302" i="10"/>
  <c r="G4628" i="40" s="1"/>
  <c r="D1301" i="10"/>
  <c r="G4530" i="40" s="1"/>
  <c r="C1300" i="10"/>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G4637" i="40" s="1"/>
  <c r="D1310" i="10"/>
  <c r="G4539" i="40" s="1"/>
  <c r="C1309" i="10"/>
  <c r="K4441" i="40" s="1"/>
  <c r="I1307" i="10"/>
  <c r="G5021" i="40" s="1"/>
  <c r="H1306" i="10"/>
  <c r="K4923" i="40" s="1"/>
  <c r="G1305" i="10"/>
  <c r="I4825" i="40" s="1"/>
  <c r="F1304" i="10"/>
  <c r="I4727" i="40" s="1"/>
  <c r="E1303" i="10"/>
  <c r="D1302" i="10"/>
  <c r="C1301" i="10"/>
  <c r="K4433" i="40" s="1"/>
  <c r="I1299" i="10"/>
  <c r="G5013" i="40" s="1"/>
  <c r="H1298" i="10"/>
  <c r="K4915" i="40" s="1"/>
  <c r="G1297" i="10"/>
  <c r="I4817" i="40" s="1"/>
  <c r="F1296" i="10"/>
  <c r="I4719" i="40" s="1"/>
  <c r="E1295" i="10"/>
  <c r="G4621" i="40" s="1"/>
  <c r="D1294" i="10"/>
  <c r="G4523" i="40" s="1"/>
  <c r="C1293" i="10"/>
  <c r="K4425" i="40" s="1"/>
  <c r="I1291" i="10"/>
  <c r="G5005" i="40" s="1"/>
  <c r="H1290" i="10"/>
  <c r="K4907" i="40" s="1"/>
  <c r="G1289" i="10"/>
  <c r="I4809" i="40" s="1"/>
  <c r="F1288" i="10"/>
  <c r="I4711" i="40" s="1"/>
  <c r="E1287" i="10"/>
  <c r="G4613" i="40" s="1"/>
  <c r="D1286" i="10"/>
  <c r="C1285" i="10"/>
  <c r="K4417" i="40" s="1"/>
  <c r="I1283" i="10"/>
  <c r="G4997" i="40" s="1"/>
  <c r="H1282" i="10"/>
  <c r="K4899" i="40" s="1"/>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C1302" i="10"/>
  <c r="K4434" i="40" s="1"/>
  <c r="I1300" i="10"/>
  <c r="G5014" i="40" s="1"/>
  <c r="H1299" i="10"/>
  <c r="K4916" i="40" s="1"/>
  <c r="G1298" i="10"/>
  <c r="I4818" i="40" s="1"/>
  <c r="F1297" i="10"/>
  <c r="I4720" i="40" s="1"/>
  <c r="E1296" i="10"/>
  <c r="G4622" i="40" s="1"/>
  <c r="D1295" i="10"/>
  <c r="G4524" i="40" s="1"/>
  <c r="C1294" i="10"/>
  <c r="I1292" i="10"/>
  <c r="G5006" i="40" s="1"/>
  <c r="H1291" i="10"/>
  <c r="K4908" i="40" s="1"/>
  <c r="G1290" i="10"/>
  <c r="I4810" i="40" s="1"/>
  <c r="F1289" i="10"/>
  <c r="I4712" i="40" s="1"/>
  <c r="E1288" i="10"/>
  <c r="G4614" i="40" s="1"/>
  <c r="D1287" i="10"/>
  <c r="G4516" i="40" s="1"/>
  <c r="C1286" i="10"/>
  <c r="K4418" i="40" s="1"/>
  <c r="I1284" i="10"/>
  <c r="H1283" i="10"/>
  <c r="K4900" i="40" s="1"/>
  <c r="G1282" i="10"/>
  <c r="I4802" i="40" s="1"/>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H1308" i="10"/>
  <c r="K4925" i="40" s="1"/>
  <c r="G1307" i="10"/>
  <c r="I4827" i="40" s="1"/>
  <c r="F1306" i="10"/>
  <c r="I4729" i="40" s="1"/>
  <c r="E1305" i="10"/>
  <c r="G4631" i="40" s="1"/>
  <c r="D1304" i="10"/>
  <c r="G4533" i="40" s="1"/>
  <c r="C1303" i="10"/>
  <c r="K4435" i="40" s="1"/>
  <c r="I1301" i="10"/>
  <c r="H1300" i="10"/>
  <c r="K4917" i="40" s="1"/>
  <c r="G1299" i="10"/>
  <c r="F1298" i="10"/>
  <c r="I4721" i="40" s="1"/>
  <c r="E1297" i="10"/>
  <c r="G4623" i="40" s="1"/>
  <c r="D1296" i="10"/>
  <c r="G4525" i="40" s="1"/>
  <c r="C1295" i="10"/>
  <c r="K4427" i="40" s="1"/>
  <c r="I1293" i="10"/>
  <c r="G5007" i="40" s="1"/>
  <c r="H1292" i="10"/>
  <c r="K4909" i="40" s="1"/>
  <c r="G1291" i="10"/>
  <c r="I4811" i="40" s="1"/>
  <c r="F1290" i="10"/>
  <c r="I4713" i="40" s="1"/>
  <c r="E1289" i="10"/>
  <c r="G4615" i="40" s="1"/>
  <c r="D1288" i="10"/>
  <c r="G4517" i="40" s="1"/>
  <c r="C1287" i="10"/>
  <c r="K4419" i="40" s="1"/>
  <c r="I1285" i="10"/>
  <c r="G4999" i="40" s="1"/>
  <c r="H1284" i="10"/>
  <c r="K4901" i="40" s="1"/>
  <c r="G1283" i="10"/>
  <c r="F1282" i="10"/>
  <c r="I4705" i="40" s="1"/>
  <c r="E1281" i="10"/>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C1289" i="10"/>
  <c r="K4421" i="40" s="1"/>
  <c r="H1285" i="10"/>
  <c r="K4902" i="40" s="1"/>
  <c r="I1282" i="10"/>
  <c r="G4996" i="40" s="1"/>
  <c r="E1280" i="10"/>
  <c r="G4606" i="40" s="1"/>
  <c r="H1278" i="10"/>
  <c r="K4895" i="40" s="1"/>
  <c r="E1277" i="10"/>
  <c r="D1276" i="10"/>
  <c r="G4505" i="40" s="1"/>
  <c r="C1275" i="10"/>
  <c r="I1273" i="10"/>
  <c r="G4987" i="40" s="1"/>
  <c r="H1272" i="10"/>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G4534" i="40" s="1"/>
  <c r="C1296" i="10"/>
  <c r="K4428" i="40" s="1"/>
  <c r="F1291" i="10"/>
  <c r="I4714" i="40" s="1"/>
  <c r="G1288" i="10"/>
  <c r="I4808" i="40" s="1"/>
  <c r="G1285" i="10"/>
  <c r="I4805" i="40" s="1"/>
  <c r="E1282" i="10"/>
  <c r="G4608" i="40" s="1"/>
  <c r="C1280" i="10"/>
  <c r="K4412" i="40" s="1"/>
  <c r="G1278" i="10"/>
  <c r="I4798" i="40" s="1"/>
  <c r="D1277" i="10"/>
  <c r="G4506" i="40" s="1"/>
  <c r="C1276" i="10"/>
  <c r="K4408" i="40" s="1"/>
  <c r="I1274" i="10"/>
  <c r="G4988" i="40" s="1"/>
  <c r="H1273" i="10"/>
  <c r="K4890" i="40" s="1"/>
  <c r="G1272" i="10"/>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K4420" i="40" s="1"/>
  <c r="D1285" i="10"/>
  <c r="G4514" i="40" s="1"/>
  <c r="D1282" i="10"/>
  <c r="G4511" i="40" s="1"/>
  <c r="I1279" i="10"/>
  <c r="G4993" i="40" s="1"/>
  <c r="E1278" i="10"/>
  <c r="G4604" i="40" s="1"/>
  <c r="C1277" i="10"/>
  <c r="I1275" i="10"/>
  <c r="H1274" i="10"/>
  <c r="K4891" i="40" s="1"/>
  <c r="G1273" i="10"/>
  <c r="I4793" i="40" s="1"/>
  <c r="F1272" i="10"/>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K4898" i="40" s="1"/>
  <c r="H1279" i="10"/>
  <c r="K4896" i="40" s="1"/>
  <c r="D1278" i="10"/>
  <c r="G4507" i="40" s="1"/>
  <c r="I1276" i="10"/>
  <c r="G4990" i="40" s="1"/>
  <c r="H1275" i="10"/>
  <c r="K4892" i="40" s="1"/>
  <c r="G1274" i="10"/>
  <c r="I4794" i="40" s="1"/>
  <c r="F1273" i="10"/>
  <c r="I4696" i="40" s="1"/>
  <c r="E1272" i="10"/>
  <c r="G4598" i="40" s="1"/>
  <c r="D1271" i="10"/>
  <c r="C1270" i="10"/>
  <c r="K4402" i="40" s="1"/>
  <c r="I1268" i="10"/>
  <c r="G4982" i="40" s="1"/>
  <c r="H1267" i="10"/>
  <c r="K4884" i="40" s="1"/>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F1279" i="10"/>
  <c r="I4702" i="40" s="1"/>
  <c r="C1278" i="10"/>
  <c r="K4410" i="40" s="1"/>
  <c r="H1276" i="10"/>
  <c r="K4893" i="40" s="1"/>
  <c r="G1275" i="10"/>
  <c r="I4795" i="40" s="1"/>
  <c r="F1274" i="10"/>
  <c r="I4697" i="40" s="1"/>
  <c r="E1273" i="10"/>
  <c r="G4599" i="40" s="1"/>
  <c r="D1272" i="10"/>
  <c r="G4501" i="40" s="1"/>
  <c r="C1271" i="10"/>
  <c r="K4403" i="40" s="1"/>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G4984" i="40" s="1"/>
  <c r="H1269" i="10"/>
  <c r="K4886" i="40" s="1"/>
  <c r="G1268" i="10"/>
  <c r="I4788" i="40" s="1"/>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K4906" i="40" s="1"/>
  <c r="H1286" i="10"/>
  <c r="K4903" i="40" s="1"/>
  <c r="F1283" i="10"/>
  <c r="I4706" i="40" s="1"/>
  <c r="G1280" i="10"/>
  <c r="I4800" i="40" s="1"/>
  <c r="D1279" i="10"/>
  <c r="G1277" i="10"/>
  <c r="I4797" i="40" s="1"/>
  <c r="F1276" i="10"/>
  <c r="I4699" i="40" s="1"/>
  <c r="E1275" i="10"/>
  <c r="G4601" i="40" s="1"/>
  <c r="D1274" i="10"/>
  <c r="G4503" i="40" s="1"/>
  <c r="C1273" i="10"/>
  <c r="K4405" i="40" s="1"/>
  <c r="I1271" i="10"/>
  <c r="G4985" i="40" s="1"/>
  <c r="H1270" i="10"/>
  <c r="K4887" i="40" s="1"/>
  <c r="G1269" i="10"/>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G4624" i="40" s="1"/>
  <c r="F1292" i="10"/>
  <c r="D1289" i="10"/>
  <c r="G4518" i="40" s="1"/>
  <c r="E1286" i="10"/>
  <c r="G4612" i="40" s="1"/>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G4500" i="40"/>
  <c r="I4695" i="40"/>
  <c r="I4792" i="40"/>
  <c r="K4889" i="40"/>
  <c r="K4407" i="40"/>
  <c r="G4989" i="40"/>
  <c r="K4409" i="40"/>
  <c r="G4603" i="40"/>
  <c r="K4894" i="40"/>
  <c r="G4508" i="40"/>
  <c r="G4510" i="40"/>
  <c r="G4607" i="40"/>
  <c r="I4704" i="40"/>
  <c r="I4801" i="40"/>
  <c r="I4803" i="40"/>
  <c r="G4998" i="40"/>
  <c r="G4515" i="40"/>
  <c r="I4709" i="40"/>
  <c r="I4710" i="40"/>
  <c r="K4905" i="40"/>
  <c r="G5002" i="40"/>
  <c r="K4423" i="40"/>
  <c r="G4520" i="40"/>
  <c r="G4617" i="40"/>
  <c r="K4424" i="40"/>
  <c r="I4715" i="40"/>
  <c r="I4812" i="40"/>
  <c r="K4426" i="40"/>
  <c r="G5011" i="40"/>
  <c r="K4430" i="40"/>
  <c r="I4819" i="40"/>
  <c r="K4432" i="40"/>
  <c r="G5015" i="40"/>
  <c r="G4531" i="40"/>
  <c r="K4919" i="40"/>
  <c r="G4532" i="40"/>
  <c r="G4629" i="40"/>
  <c r="K4437" i="40"/>
  <c r="G5019" i="40"/>
  <c r="K4439" i="40"/>
  <c r="G4536" i="40"/>
  <c r="I4730" i="40"/>
  <c r="I4731" i="40"/>
  <c r="I4732" i="40"/>
  <c r="G5023" i="40"/>
  <c r="K4442" i="40"/>
  <c r="K4927" i="40"/>
  <c r="K4444" i="40"/>
  <c r="G4638" i="40"/>
  <c r="G4543" i="40"/>
  <c r="G4640" i="40"/>
  <c r="K4447" i="40"/>
  <c r="G4545" i="40"/>
  <c r="G4642" i="40"/>
  <c r="I4836" i="40"/>
  <c r="G4981" i="40"/>
  <c r="K4400" i="40"/>
  <c r="G4497" i="40"/>
  <c r="G4498" i="40"/>
  <c r="I4789" i="40"/>
  <c r="AK29" i="8" l="1"/>
  <c r="J8467" i="40"/>
  <c r="AK39" i="8"/>
  <c r="AK23" i="8"/>
  <c r="AK27" i="8"/>
  <c r="AK28" i="8"/>
  <c r="J8475" i="40"/>
  <c r="J8477" i="40"/>
  <c r="AK25" i="8"/>
  <c r="J8463" i="40"/>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<sst xmlns="http://schemas.openxmlformats.org/spreadsheetml/2006/main" count="57578" uniqueCount="2359">
  <si>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</si>
  <si>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</si>
  <si>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</si>
  <si>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</si>
  <si>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</si>
  <si>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</si>
  <si>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</si>
  <si>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</si>
  <si>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</si>
  <si>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</si>
  <si>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</si>
  <si>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</si>
  <si>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</si>
  <si>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</si>
  <si>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</si>
  <si>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</si>
  <si>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</si>
  <si>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</si>
  <si>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</si>
  <si>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</si>
  <si>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</si>
  <si>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</si>
  <si>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</si>
  <si>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</si>
  <si>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</si>
  <si>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</si>
  <si>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</si>
  <si>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</si>
  <si>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</si>
  <si>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</si>
  <si>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</si>
  <si>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</si>
  <si>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</si>
  <si>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</si>
  <si>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</si>
  <si>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</si>
  <si>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</si>
  <si>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</si>
  <si>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</si>
  <si>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</si>
  <si>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</si>
  <si>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</si>
  <si>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</si>
  <si>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</si>
  <si>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</si>
  <si>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</si>
  <si>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</si>
  <si>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</si>
  <si>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</si>
  <si>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</si>
  <si>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</si>
  <si>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</si>
  <si>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</si>
  <si>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</si>
  <si>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</si>
  <si>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</si>
  <si>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</si>
  <si>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</si>
  <si>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</si>
  <si>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</si>
  <si>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</si>
  <si>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</si>
  <si>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</si>
  <si>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</si>
  <si>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</si>
  <si>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</si>
  <si>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</si>
  <si>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</si>
  <si>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</si>
  <si>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</si>
  <si>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</si>
  <si>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</si>
  <si>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</si>
  <si>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</si>
  <si>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</si>
  <si>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</si>
  <si>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</si>
  <si>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</si>
  <si>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</si>
  <si>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</si>
  <si>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</si>
  <si>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</si>
  <si>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</si>
  <si>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</si>
  <si>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</si>
  <si>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</si>
  <si>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</si>
  <si>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</si>
  <si>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</si>
  <si>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</si>
  <si>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</si>
  <si>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</si>
  <si>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</si>
  <si>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</si>
  <si>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</si>
  <si>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</si>
  <si>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</si>
  <si>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</si>
  <si>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</si>
  <si>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</si>
  <si>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</si>
  <si>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</si>
  <si>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</si>
  <si>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</si>
  <si>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</si>
  <si>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</si>
  <si>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</si>
  <si>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</si>
  <si>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</si>
  <si>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</si>
  <si>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</si>
  <si>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</si>
  <si>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</si>
  <si>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</si>
  <si>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</si>
  <si>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</si>
  <si>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</si>
  <si>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</si>
  <si>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</si>
  <si>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</si>
  <si>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</si>
  <si>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</si>
  <si>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</si>
  <si>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</si>
  <si>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</si>
  <si>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</si>
  <si>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</si>
  <si>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</si>
  <si>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</si>
  <si>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</si>
  <si>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</si>
  <si>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</si>
  <si>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</si>
  <si>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</si>
  <si>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</si>
  <si>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</si>
  <si>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</si>
  <si>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</si>
  <si>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</si>
  <si>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</si>
  <si>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</si>
  <si>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</si>
  <si>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</si>
  <si>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</si>
  <si>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</si>
  <si>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</si>
  <si>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</si>
  <si>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</si>
  <si>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</si>
  <si>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</si>
  <si>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</si>
  <si>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</si>
  <si>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</si>
  <si>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</si>
  <si>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</si>
  <si>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</si>
  <si>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</si>
  <si>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</si>
  <si>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</si>
  <si>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</si>
  <si>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</si>
  <si>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</si>
  <si>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</si>
  <si>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</si>
  <si>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</si>
  <si>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</si>
  <si>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</si>
  <si>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</si>
  <si>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</si>
  <si>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</si>
  <si>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</si>
  <si>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</si>
  <si>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</si>
  <si>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</si>
  <si>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</si>
  <si>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</si>
  <si>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</si>
  <si>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</si>
  <si>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</si>
  <si>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</si>
  <si>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</si>
  <si>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</si>
  <si>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</si>
  <si>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</si>
  <si>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</si>
  <si>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</si>
  <si>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</si>
  <si>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</si>
  <si>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</si>
  <si>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</si>
  <si>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</si>
  <si>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</si>
  <si>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</si>
  <si>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</si>
  <si>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</si>
  <si>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</si>
  <si>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</si>
  <si>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</si>
  <si>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</si>
  <si>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</si>
  <si>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</si>
  <si>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</si>
  <si>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</si>
  <si>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</si>
  <si>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</si>
  <si>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</si>
  <si>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</si>
  <si>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</si>
  <si>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</si>
  <si>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</si>
  <si>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</si>
  <si>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</si>
  <si>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</si>
  <si>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</si>
  <si>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</si>
  <si>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</si>
  <si>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</si>
  <si>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</si>
  <si>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</si>
  <si>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</si>
  <si>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</si>
  <si>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</si>
  <si>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</si>
  <si>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</si>
  <si>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</si>
  <si>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</si>
  <si>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</si>
  <si>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</si>
  <si>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</si>
  <si>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</si>
  <si>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</si>
  <si>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</si>
  <si>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</si>
  <si>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</si>
  <si>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</si>
  <si>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</si>
  <si>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</si>
  <si>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</si>
  <si>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</si>
  <si>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</si>
  <si>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</si>
  <si>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</si>
  <si>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</si>
  <si>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</si>
  <si>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</si>
  <si>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</si>
  <si>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</si>
  <si>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</si>
  <si>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</si>
  <si>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</si>
  <si>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</si>
  <si>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</si>
  <si>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</si>
  <si>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</si>
  <si>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</si>
  <si>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</si>
  <si>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</si>
  <si>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</si>
  <si>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</si>
  <si>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</si>
  <si>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</si>
  <si>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</si>
  <si>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</si>
  <si>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</si>
  <si>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</si>
  <si>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</si>
  <si>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</si>
  <si>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</si>
  <si>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</si>
  <si>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</si>
  <si>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</si>
  <si>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</si>
  <si>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</si>
  <si>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</si>
  <si>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</si>
  <si>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</si>
  <si>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</si>
  <si>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</si>
  <si>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</si>
  <si>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</si>
  <si>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</si>
  <si>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</si>
  <si>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</si>
  <si>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</si>
  <si>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</si>
  <si>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</si>
  <si>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</si>
  <si>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</si>
  <si>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</si>
  <si>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</si>
  <si>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</si>
  <si>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</si>
  <si>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</si>
  <si>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</si>
  <si>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</si>
  <si>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</si>
  <si>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</si>
  <si>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</si>
  <si>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</si>
  <si>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</si>
  <si>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</si>
  <si>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</si>
  <si>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</si>
  <si>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</si>
  <si>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</si>
  <si>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</si>
  <si>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</si>
  <si>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</si>
  <si>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</si>
  <si>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</si>
  <si>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</si>
  <si>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</si>
  <si>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</si>
  <si>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</si>
  <si>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</si>
  <si>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</si>
  <si>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</si>
  <si>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</si>
  <si>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</si>
  <si>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</si>
  <si>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</si>
  <si>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</si>
  <si>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</si>
  <si>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</si>
  <si>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</si>
  <si>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</si>
  <si>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</si>
  <si>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</si>
  <si>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</si>
  <si>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</si>
  <si>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</si>
  <si>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</si>
  <si>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</si>
  <si>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</si>
  <si>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</si>
  <si>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</si>
  <si>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</si>
  <si>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</si>
  <si>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</si>
  <si>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</si>
  <si>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</si>
  <si>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</si>
  <si>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</si>
  <si>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</si>
  <si>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</si>
  <si>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</si>
  <si>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</si>
  <si>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</si>
  <si>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</si>
  <si>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</si>
  <si>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</si>
  <si>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</si>
  <si>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</si>
  <si>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</si>
  <si>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</si>
  <si>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</si>
  <si>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</si>
  <si>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</si>
  <si>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</si>
  <si>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</si>
  <si>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</si>
  <si>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</si>
  <si>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</si>
  <si>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</si>
  <si>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</si>
  <si>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</si>
  <si>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</si>
  <si>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</si>
  <si>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</si>
  <si>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</si>
  <si>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</si>
  <si>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</si>
  <si>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</si>
  <si>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</si>
  <si>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</si>
  <si>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</si>
  <si>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</si>
  <si>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</si>
  <si>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</si>
  <si>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</si>
  <si>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</si>
  <si>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</si>
  <si>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</si>
  <si>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</si>
  <si>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</si>
  <si>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</si>
  <si>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</si>
  <si>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</si>
  <si>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</si>
  <si>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</si>
  <si>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</si>
  <si>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</si>
  <si>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</si>
  <si>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</si>
  <si>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</si>
  <si>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</si>
  <si>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</si>
  <si>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</si>
  <si>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</si>
  <si>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</si>
  <si>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</si>
  <si>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</si>
  <si>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</si>
  <si>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</si>
  <si>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</si>
  <si>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</si>
  <si>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</si>
  <si>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</si>
  <si>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</si>
  <si>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</si>
  <si>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</si>
  <si>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</si>
  <si>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</si>
  <si>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</si>
  <si>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</si>
  <si>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</si>
  <si>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</si>
  <si>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</si>
  <si>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</si>
  <si>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</si>
  <si>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</si>
  <si>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</si>
  <si>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</si>
  <si>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</si>
  <si>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</si>
  <si>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</si>
  <si>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</si>
  <si>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</si>
  <si>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</si>
  <si>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</si>
  <si>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</si>
  <si>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</si>
  <si>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</si>
  <si>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</si>
  <si>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</si>
  <si>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</si>
  <si>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</si>
  <si>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</si>
  <si>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</si>
  <si>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</si>
  <si>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</si>
  <si>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</si>
  <si>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</si>
  <si>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</si>
  <si>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</si>
  <si>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</si>
  <si>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</si>
  <si>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</si>
  <si>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</si>
  <si>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</si>
  <si>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</si>
  <si>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</si>
  <si>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</si>
  <si>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</si>
  <si>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</si>
  <si>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</si>
  <si>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</si>
  <si>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</si>
  <si>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</si>
  <si>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</si>
  <si>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</si>
  <si>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</si>
  <si>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</si>
  <si>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</si>
  <si>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</si>
  <si>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</si>
  <si>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</si>
  <si>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</si>
  <si>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</si>
  <si>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</si>
  <si>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</si>
  <si>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</si>
  <si>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</si>
  <si>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</si>
  <si>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</si>
  <si>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</si>
  <si>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</si>
  <si>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</si>
  <si>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</si>
  <si>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</si>
  <si>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</si>
  <si>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</si>
  <si>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</si>
  <si>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</si>
  <si>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</si>
  <si>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</si>
  <si>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</si>
  <si>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</si>
  <si>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</si>
  <si>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</si>
  <si>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</si>
  <si>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</si>
  <si>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</si>
  <si>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</si>
  <si>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</si>
  <si>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</si>
  <si>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</si>
  <si>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</si>
  <si>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</si>
  <si>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</si>
  <si>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</si>
  <si>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</si>
  <si>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</si>
  <si>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</si>
  <si>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</si>
  <si>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</si>
  <si>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</si>
  <si>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</si>
  <si>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</si>
  <si>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</si>
  <si>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</si>
  <si>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</si>
  <si>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</si>
  <si>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</si>
  <si>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</si>
  <si>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</si>
  <si>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</si>
  <si>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</si>
  <si>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</si>
  <si>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</si>
  <si>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</si>
  <si>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</si>
  <si>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</si>
  <si>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</si>
  <si>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</si>
  <si>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</si>
  <si>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</si>
  <si>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</si>
  <si>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</si>
  <si>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</si>
  <si>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</si>
  <si>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</si>
  <si>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</si>
  <si>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</si>
  <si>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</si>
  <si>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</si>
  <si>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</si>
  <si>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</si>
  <si>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</si>
  <si>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</si>
  <si>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</si>
  <si>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</si>
  <si>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</si>
  <si>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</si>
  <si>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</si>
  <si>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</si>
  <si>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</si>
  <si>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</si>
  <si>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</si>
  <si>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</si>
  <si>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</si>
  <si>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</si>
  <si>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</si>
  <si>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</si>
  <si>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</si>
  <si>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</si>
  <si>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</si>
  <si>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</si>
  <si>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</si>
  <si>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</si>
  <si>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</si>
  <si>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</si>
  <si>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</si>
  <si>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</si>
  <si>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</si>
  <si>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</si>
  <si>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</si>
  <si>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</si>
  <si>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</si>
  <si>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</si>
  <si>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</si>
  <si>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</si>
  <si>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</si>
  <si>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</si>
  <si>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</si>
  <si>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</si>
  <si>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</si>
  <si>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</si>
  <si>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</si>
  <si>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</si>
  <si>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</si>
  <si>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</si>
  <si>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</si>
  <si>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</si>
  <si>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</si>
  <si>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</si>
  <si>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</si>
  <si>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</si>
  <si>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</si>
  <si>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</si>
  <si>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</si>
  <si>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</si>
  <si>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</si>
  <si>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</si>
  <si>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</si>
  <si>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</si>
  <si>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</si>
  <si>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</si>
  <si>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</si>
  <si>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</si>
  <si>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</si>
  <si>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</si>
  <si>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</si>
  <si>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</si>
  <si>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</si>
  <si>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</si>
  <si>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</si>
  <si>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</si>
  <si>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</si>
  <si>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</si>
  <si>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</si>
  <si>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</si>
  <si>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</si>
  <si>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</si>
  <si>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</si>
  <si>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</si>
  <si>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</si>
  <si>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</si>
  <si>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</si>
  <si>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</si>
  <si>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</si>
  <si>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</si>
  <si>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</si>
  <si>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</si>
  <si>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</si>
  <si>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</si>
  <si>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</si>
  <si>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</si>
  <si>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</si>
  <si>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</si>
  <si>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</si>
  <si>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</si>
  <si>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</si>
  <si>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</si>
  <si>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</si>
  <si>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</si>
  <si>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</si>
  <si>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</si>
  <si>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</si>
  <si>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</si>
  <si>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</si>
  <si>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</si>
  <si>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</si>
  <si>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</si>
  <si>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</si>
  <si>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</si>
  <si>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</si>
  <si>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</si>
  <si>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</si>
  <si>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</si>
  <si>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</si>
  <si>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</si>
  <si>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</si>
  <si>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</si>
  <si>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</si>
  <si>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</si>
  <si>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</si>
  <si>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</si>
  <si>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</si>
  <si>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</si>
  <si>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</si>
  <si>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</si>
  <si>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</si>
  <si>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</si>
  <si>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</si>
  <si>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</si>
  <si>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</si>
  <si>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</si>
  <si>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</si>
  <si>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</si>
  <si>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</si>
  <si>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</si>
  <si>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</si>
  <si>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</si>
  <si>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</si>
  <si>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</si>
  <si>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</si>
  <si>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</si>
  <si>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</si>
  <si>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</si>
  <si>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</si>
  <si>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</si>
  <si>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</si>
  <si>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</si>
  <si>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</si>
  <si>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</si>
  <si>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</si>
  <si>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</si>
  <si>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</si>
  <si>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</si>
  <si>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</si>
  <si>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</si>
  <si>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</si>
  <si>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</si>
  <si>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</si>
  <si>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</si>
  <si>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</si>
  <si>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</si>
  <si>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</si>
  <si>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</si>
  <si>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</si>
  <si>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</si>
  <si>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</si>
  <si>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</si>
  <si>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</si>
  <si>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</si>
  <si>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</si>
  <si>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</si>
  <si>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</si>
  <si>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</si>
  <si>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</si>
  <si>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</si>
  <si>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</si>
  <si>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</si>
  <si>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</si>
  <si>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</si>
  <si>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</si>
  <si>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</si>
  <si>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</si>
  <si>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</si>
  <si>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</si>
  <si>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</si>
  <si>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</si>
  <si>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</si>
  <si>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</si>
  <si>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</si>
  <si>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</si>
  <si>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</si>
  <si>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</si>
  <si>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</si>
  <si>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</si>
  <si>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</si>
  <si>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</si>
  <si>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</si>
  <si>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</si>
  <si>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</si>
  <si>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</si>
  <si>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</si>
  <si>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</si>
  <si>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</si>
  <si>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</si>
  <si>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</si>
  <si>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</si>
  <si>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</si>
  <si>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</si>
  <si>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</si>
  <si>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</si>
  <si>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</si>
  <si>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</si>
  <si>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</si>
  <si>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</si>
  <si>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</si>
  <si>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</si>
  <si>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</si>
  <si>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</si>
  <si>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</si>
  <si>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</si>
  <si>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</si>
  <si>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</si>
  <si>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</si>
  <si>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</si>
  <si>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</si>
  <si>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</si>
  <si>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</si>
  <si>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</si>
  <si>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</si>
  <si>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</si>
  <si>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</si>
  <si>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</si>
  <si>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</si>
  <si>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</si>
  <si>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</si>
  <si>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</si>
  <si>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</si>
  <si>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</si>
  <si>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</si>
  <si>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</si>
  <si>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</si>
  <si>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</si>
  <si>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</si>
  <si>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</si>
  <si>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</si>
  <si>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</si>
  <si>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</si>
  <si>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</si>
  <si>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</si>
  <si>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</si>
  <si>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</si>
  <si>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</si>
  <si>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</si>
  <si>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</si>
  <si>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</si>
  <si>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</si>
  <si>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</si>
  <si>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</si>
  <si>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</si>
  <si>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</si>
  <si>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</si>
  <si>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</si>
  <si>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</si>
  <si>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</si>
  <si>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</si>
  <si>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</si>
  <si>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</si>
  <si>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</si>
  <si>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</si>
  <si>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</si>
  <si>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</si>
  <si>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</si>
  <si>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</si>
  <si>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</si>
  <si>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</si>
  <si>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</si>
  <si>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</si>
  <si>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</si>
  <si>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</si>
  <si>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</si>
  <si>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</si>
  <si>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</si>
  <si>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</si>
  <si>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</si>
  <si>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</si>
  <si>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</si>
  <si>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</si>
  <si>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</si>
  <si>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</si>
  <si>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</si>
  <si>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</si>
  <si>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</si>
  <si>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</si>
  <si>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</si>
  <si>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</si>
  <si>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</si>
  <si>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</si>
  <si>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</si>
  <si>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</si>
  <si>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</si>
  <si>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</si>
  <si>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</si>
  <si>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</si>
  <si>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</si>
  <si>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</si>
  <si>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</si>
  <si>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</si>
  <si>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</si>
  <si>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</si>
  <si>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</si>
  <si>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</si>
  <si>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</si>
  <si>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</si>
  <si>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</si>
  <si>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</si>
  <si>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</si>
  <si>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</si>
  <si>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</si>
  <si>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</si>
  <si>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</si>
  <si>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</si>
  <si>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</si>
  <si>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</si>
  <si>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</si>
  <si>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</si>
  <si>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</si>
  <si>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</si>
  <si>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</si>
  <si>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</si>
  <si>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</si>
  <si>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</si>
  <si>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</si>
  <si>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</si>
  <si>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</si>
  <si>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</si>
  <si>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</si>
  <si>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</si>
  <si>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</si>
  <si>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</si>
  <si>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</si>
  <si>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</si>
  <si>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</si>
  <si>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</si>
  <si>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</si>
  <si>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</si>
  <si>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</si>
  <si>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</si>
  <si>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</si>
  <si>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</si>
  <si>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</si>
  <si>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</si>
  <si>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</si>
  <si>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</si>
  <si>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</si>
  <si>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</si>
  <si>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</si>
  <si>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</si>
  <si>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</si>
  <si>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</si>
  <si>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</si>
  <si>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</si>
  <si>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</si>
  <si>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</si>
  <si>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</si>
  <si>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</si>
  <si>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</si>
  <si>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</si>
  <si>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</si>
  <si>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</si>
  <si>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</si>
  <si>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</si>
  <si>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</si>
  <si>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</si>
  <si>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</si>
  <si>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</si>
  <si>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</si>
  <si>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</si>
  <si>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</si>
  <si>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</si>
  <si>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</si>
  <si>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</si>
  <si>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</si>
  <si>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</si>
  <si>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</si>
  <si>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</si>
  <si>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</si>
  <si>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</si>
  <si>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</si>
  <si>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</si>
  <si>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</si>
  <si>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</si>
  <si>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</si>
  <si>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</si>
  <si>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</si>
  <si>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</si>
  <si>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</si>
  <si>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</si>
  <si>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</si>
  <si>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</si>
  <si>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</si>
  <si>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</si>
  <si>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</si>
  <si>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</si>
  <si>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</si>
  <si>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</si>
  <si>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</si>
  <si>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</si>
  <si>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</si>
  <si>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</si>
  <si>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</si>
  <si>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</si>
  <si>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</si>
  <si>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</si>
  <si>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</si>
  <si>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</si>
  <si>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</si>
  <si>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</si>
  <si>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</si>
  <si>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</si>
  <si>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</si>
  <si>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</si>
  <si>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</si>
  <si>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</si>
  <si>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</si>
  <si>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</si>
  <si>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</si>
  <si>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</si>
  <si>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</si>
  <si>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</si>
  <si>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</si>
  <si>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</si>
  <si>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</si>
  <si>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</si>
  <si>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</si>
  <si>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</si>
  <si>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</si>
  <si>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</si>
  <si>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</si>
  <si>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</si>
  <si>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</si>
  <si>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</si>
  <si>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</si>
  <si>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</si>
  <si>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</si>
  <si>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</si>
  <si>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</si>
  <si>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</si>
  <si>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</si>
  <si>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</si>
  <si>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</si>
  <si>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</si>
  <si>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</si>
  <si>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</si>
  <si>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</si>
  <si>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</si>
  <si>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</si>
  <si>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</si>
  <si>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</si>
  <si>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</si>
  <si>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</si>
  <si>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</si>
  <si>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</si>
  <si>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</si>
  <si>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</si>
  <si>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</si>
  <si>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</si>
  <si>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</si>
  <si>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</si>
  <si>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</si>
  <si>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</si>
  <si>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</si>
  <si>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</si>
  <si>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</si>
  <si>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</si>
  <si>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</si>
  <si>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</si>
  <si>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</si>
  <si>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</si>
  <si>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</si>
  <si>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</si>
  <si>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</si>
  <si>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</si>
  <si>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</si>
  <si>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</si>
  <si>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</si>
  <si>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</si>
  <si>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</si>
  <si>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</si>
  <si>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</si>
  <si>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</si>
  <si>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</si>
  <si>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</si>
  <si>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</si>
  <si>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</si>
  <si>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</si>
  <si>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</si>
  <si>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</si>
  <si>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</si>
  <si>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</si>
  <si>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</si>
  <si>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</si>
  <si>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</si>
  <si>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</si>
  <si>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</si>
  <si>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</si>
  <si>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</si>
  <si>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</si>
  <si>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</si>
  <si>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</si>
  <si>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</si>
  <si>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</si>
  <si>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</si>
  <si>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</si>
  <si>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</si>
  <si>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</si>
  <si>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</si>
  <si>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</si>
  <si>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</si>
  <si>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</si>
  <si>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</si>
  <si>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</si>
  <si>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</si>
  <si>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</si>
  <si>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</si>
  <si>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</si>
  <si>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</si>
  <si>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</si>
  <si>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</si>
  <si>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</si>
  <si>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</si>
  <si>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</si>
  <si>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</si>
  <si>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</si>
  <si>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</si>
  <si>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</si>
  <si>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</si>
  <si>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</si>
  <si>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</si>
  <si>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</si>
  <si>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</si>
  <si>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</si>
  <si>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</si>
  <si>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</si>
  <si>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</si>
  <si>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</si>
  <si>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</si>
  <si>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</si>
  <si>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</si>
  <si>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</si>
  <si>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</si>
  <si>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</si>
  <si>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</si>
  <si>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</si>
  <si>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</si>
  <si>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</si>
  <si>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</si>
  <si>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</si>
  <si>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</si>
  <si>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</si>
  <si>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</si>
  <si>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</si>
  <si>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</si>
  <si>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</si>
  <si>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</si>
  <si>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</si>
  <si>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</si>
  <si>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</si>
  <si>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</si>
  <si>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</si>
  <si>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</si>
  <si>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</si>
  <si>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</si>
  <si>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</si>
  <si>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</si>
  <si>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</si>
  <si>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</si>
  <si>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</si>
  <si>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</si>
  <si>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</si>
  <si>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</si>
  <si>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</si>
  <si>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</si>
  <si>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</si>
  <si>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</si>
  <si>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</si>
  <si>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</si>
  <si>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</si>
  <si>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</si>
  <si>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</si>
  <si>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</si>
  <si>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</si>
  <si>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</si>
  <si>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</si>
  <si>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</si>
  <si>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</si>
  <si>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</si>
  <si>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</si>
  <si>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</si>
  <si>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</si>
  <si>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</si>
  <si>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</si>
  <si>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</si>
  <si>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</si>
  <si>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</si>
  <si>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</si>
  <si>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</si>
  <si>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</si>
  <si>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</si>
  <si>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</si>
  <si>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</si>
  <si>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</si>
  <si>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</si>
  <si>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</si>
  <si>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</si>
  <si>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</si>
  <si>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</si>
  <si>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</si>
  <si>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</si>
  <si>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</si>
  <si>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</si>
  <si>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</si>
  <si>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</si>
  <si>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</si>
  <si>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</si>
  <si>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</si>
  <si>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</si>
  <si>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</si>
  <si>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</si>
  <si>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</si>
  <si>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</si>
  <si>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</si>
  <si>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</si>
  <si>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</si>
  <si>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</si>
  <si>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</si>
  <si>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</si>
  <si>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</si>
  <si>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</si>
  <si>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</si>
  <si>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</si>
  <si>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</si>
  <si>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</si>
  <si>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</si>
  <si>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</si>
  <si>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</si>
  <si>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</si>
  <si>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</si>
  <si>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</si>
  <si>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</si>
  <si>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</si>
  <si>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</si>
  <si>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</si>
  <si>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</si>
  <si>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</si>
  <si>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</si>
  <si>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</si>
  <si>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</si>
  <si>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</si>
  <si>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</si>
  <si>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</si>
  <si>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</si>
  <si>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</si>
  <si>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</si>
  <si>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</si>
  <si>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</si>
  <si>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</si>
  <si>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</si>
  <si>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</si>
  <si>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</si>
  <si>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</si>
  <si>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</si>
  <si>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</si>
  <si>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</si>
  <si>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</si>
  <si>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</si>
  <si>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</si>
  <si>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</si>
  <si>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</si>
  <si>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</si>
  <si>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</si>
  <si>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</si>
  <si>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</si>
  <si>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</si>
  <si>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</si>
  <si>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</si>
  <si>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</si>
  <si>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</si>
  <si>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</si>
  <si>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</si>
  <si>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</si>
  <si>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</si>
  <si>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</si>
  <si>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</si>
  <si>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</si>
  <si>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</si>
  <si>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</si>
  <si>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</si>
  <si>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</si>
  <si>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</si>
  <si>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</si>
  <si>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</si>
  <si>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</si>
  <si>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</si>
  <si>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</si>
  <si>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</si>
  <si>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</si>
  <si>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</si>
  <si>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</si>
  <si>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</si>
  <si>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</si>
  <si>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</si>
  <si>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</si>
  <si>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</si>
  <si>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</si>
  <si>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</si>
  <si>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</si>
  <si>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</si>
  <si>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</si>
  <si>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</si>
  <si>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</si>
  <si>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</si>
  <si>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</si>
  <si>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</si>
  <si>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</si>
  <si>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</si>
  <si>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</si>
  <si>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</si>
  <si>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</si>
  <si>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</si>
  <si>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</si>
  <si>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</si>
  <si>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</si>
  <si>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</si>
  <si>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</si>
  <si>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</si>
  <si>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</si>
  <si>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</si>
  <si>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</si>
  <si>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</si>
  <si>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</si>
  <si>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</si>
  <si>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</si>
  <si>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</si>
  <si>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</si>
  <si>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</si>
  <si>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</si>
  <si>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</si>
  <si>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</si>
  <si>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</si>
  <si>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</si>
  <si>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</si>
  <si>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</si>
  <si>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</si>
  <si>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</si>
  <si>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</si>
  <si>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</si>
  <si>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</si>
  <si>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</si>
  <si>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</si>
  <si>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</si>
  <si>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</si>
  <si>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</si>
  <si>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</si>
  <si>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</si>
  <si>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</si>
  <si>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</si>
  <si>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</si>
  <si>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</si>
  <si>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</si>
  <si>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</si>
  <si>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</si>
  <si>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</si>
  <si>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</si>
  <si>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</si>
  <si>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</si>
  <si>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</si>
  <si>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</si>
  <si>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</si>
  <si>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</si>
  <si>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</si>
  <si>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</si>
  <si>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</si>
  <si>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</si>
  <si>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</si>
  <si>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</si>
  <si>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</si>
  <si>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</si>
  <si>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</si>
  <si>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</si>
  <si>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</si>
  <si>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</si>
  <si>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</si>
  <si>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</si>
  <si>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</si>
  <si>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</si>
  <si>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</si>
  <si>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</si>
  <si>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</si>
  <si>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</si>
  <si>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</si>
  <si>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</si>
  <si>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</si>
  <si>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</si>
  <si>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</si>
  <si>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</si>
  <si>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</si>
  <si>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</si>
  <si>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</si>
  <si>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</si>
  <si>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</si>
  <si>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</si>
  <si>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</si>
  <si>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</si>
  <si>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</si>
  <si>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</si>
  <si>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</si>
  <si>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</si>
  <si>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</si>
  <si>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</si>
  <si>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</si>
  <si>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</si>
  <si>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</si>
  <si>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</si>
  <si>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</si>
  <si>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</si>
  <si>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</si>
  <si>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</si>
  <si>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</si>
  <si>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</si>
  <si>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</si>
  <si>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</si>
  <si>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</si>
  <si>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</si>
  <si>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</si>
  <si>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</si>
  <si>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</si>
  <si>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</si>
  <si>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</si>
  <si>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</si>
  <si>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</si>
  <si>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</si>
  <si>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</si>
  <si>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</si>
  <si>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</si>
  <si>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</si>
  <si>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</si>
  <si>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</si>
  <si>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</si>
  <si>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</si>
  <si>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</si>
  <si>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</si>
  <si>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</si>
  <si>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</si>
  <si>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</si>
  <si>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</si>
  <si>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</si>
  <si>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</si>
  <si>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</si>
  <si>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</si>
  <si>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</si>
  <si>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</si>
  <si>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</si>
  <si>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</si>
  <si>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</si>
  <si>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</si>
  <si>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</si>
  <si>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</si>
  <si>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</si>
  <si>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</si>
  <si>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</si>
  <si>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</si>
  <si>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</si>
  <si>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</si>
  <si>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</si>
  <si>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</si>
  <si>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</si>
  <si>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</si>
  <si>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</si>
  <si>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</si>
  <si>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</si>
  <si>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</si>
  <si>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</si>
  <si>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</si>
  <si>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</si>
  <si>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</si>
  <si>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</si>
  <si>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</si>
  <si>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</si>
  <si>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</si>
  <si>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</si>
  <si>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</si>
  <si>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</si>
  <si>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</si>
  <si>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</si>
  <si>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</si>
  <si>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</si>
  <si>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</si>
  <si>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</si>
  <si>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</si>
  <si>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</si>
  <si>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</si>
  <si>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</si>
  <si>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</si>
  <si>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</si>
  <si>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</si>
  <si>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</si>
  <si>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</si>
  <si>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</si>
  <si>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</si>
  <si>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</si>
  <si>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</si>
  <si>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</si>
  <si>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</si>
  <si>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</si>
  <si>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</si>
  <si>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</si>
  <si>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</si>
  <si>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</si>
  <si>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</si>
  <si>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</si>
  <si>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</si>
  <si>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</si>
  <si>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</si>
  <si>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</si>
  <si>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</si>
  <si>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</si>
  <si>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</si>
  <si>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</si>
  <si>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</si>
  <si>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</si>
  <si>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</si>
  <si>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</si>
  <si>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</si>
  <si>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</si>
  <si>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</si>
  <si>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</si>
  <si>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</si>
  <si>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</si>
  <si>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</si>
  <si>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</si>
  <si>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</si>
  <si>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</si>
  <si>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</si>
  <si>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</si>
  <si>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</si>
  <si>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</si>
  <si>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</si>
  <si>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</si>
  <si>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</si>
  <si>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</si>
  <si>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</si>
  <si>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</si>
  <si>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</si>
  <si>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</si>
  <si>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</si>
  <si>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</si>
  <si>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</si>
  <si>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</si>
  <si>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</si>
  <si>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</si>
  <si>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</si>
  <si>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</si>
  <si>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</si>
  <si>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</si>
  <si>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</si>
  <si>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</si>
  <si>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</si>
  <si>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</si>
  <si>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</si>
  <si>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</si>
  <si>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</si>
  <si>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</si>
  <si>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</si>
  <si>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</si>
  <si>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</si>
  <si>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</si>
  <si>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</si>
  <si>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</si>
  <si>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</si>
  <si>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</si>
  <si>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</si>
  <si>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</si>
  <si>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</si>
  <si>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</si>
  <si>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</si>
  <si>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</si>
  <si>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</si>
  <si>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</si>
  <si>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</si>
  <si>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</si>
  <si>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</si>
  <si>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</si>
  <si>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</si>
  <si>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</si>
  <si>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</si>
  <si>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</si>
  <si>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</si>
  <si>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</si>
  <si>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</si>
  <si>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</si>
  <si>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</si>
  <si>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</si>
  <si>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</si>
  <si>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</si>
  <si>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</si>
  <si>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</si>
  <si>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</si>
  <si>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</si>
  <si>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</si>
  <si>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</si>
  <si>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</si>
  <si>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</si>
  <si>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</si>
  <si>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</si>
  <si>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</si>
  <si>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</si>
  <si>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</si>
  <si>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</si>
  <si>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</si>
  <si>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</si>
  <si>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</si>
  <si>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</si>
  <si>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</si>
  <si>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</si>
  <si>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</si>
  <si>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</si>
  <si>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</si>
  <si>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</si>
  <si>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</si>
  <si>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</si>
  <si>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</si>
  <si>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</si>
  <si>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</si>
  <si>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</si>
  <si>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</si>
  <si>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</si>
  <si>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</si>
  <si>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</si>
  <si>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</si>
  <si>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</si>
  <si>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</si>
  <si>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</si>
  <si>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</si>
  <si>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</si>
  <si>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</si>
  <si>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</si>
  <si>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</si>
  <si>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</si>
  <si>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</si>
  <si>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</si>
  <si>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</si>
  <si>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</si>
  <si>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</si>
  <si>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</si>
  <si>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</si>
  <si>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</si>
  <si>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</si>
  <si>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</si>
  <si>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</si>
  <si>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</si>
  <si>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</si>
  <si>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</si>
  <si>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</si>
  <si>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</si>
  <si>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</si>
  <si>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</si>
  <si>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</si>
  <si>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</si>
  <si>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</si>
  <si>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</si>
  <si>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</si>
  <si>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</si>
  <si>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</si>
  <si>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</si>
  <si>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</si>
  <si>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</si>
  <si>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</si>
  <si>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</si>
  <si>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</si>
  <si>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</si>
  <si>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</si>
  <si>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</si>
  <si>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</si>
  <si>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</si>
  <si>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</si>
  <si>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</si>
  <si>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</si>
  <si>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</si>
  <si>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</si>
  <si>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</si>
  <si>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</si>
  <si>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</si>
  <si>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</si>
  <si>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</si>
  <si>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</si>
  <si>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</si>
  <si>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</si>
  <si>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</si>
  <si>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</si>
  <si>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</si>
  <si>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</si>
  <si>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</si>
  <si>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</si>
  <si>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</si>
  <si>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</si>
  <si>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</si>
  <si>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</si>
  <si>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</si>
  <si>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</si>
  <si>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</si>
  <si>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</si>
  <si>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</si>
  <si>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</si>
  <si>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</si>
  <si>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</si>
  <si>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</si>
  <si>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</si>
  <si>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</si>
  <si>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</si>
  <si>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</si>
  <si>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</si>
  <si>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</si>
  <si>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</si>
  <si>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</si>
  <si>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</si>
  <si>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</si>
  <si>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</si>
  <si>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</si>
  <si>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</si>
  <si>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</si>
  <si>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</si>
  <si>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</si>
  <si>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</si>
  <si>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</si>
  <si>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</si>
  <si>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</si>
  <si>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</si>
  <si>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</si>
  <si>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</si>
  <si>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</si>
  <si>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</si>
  <si>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</si>
  <si>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</si>
  <si>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</si>
  <si>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</si>
  <si>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</si>
  <si>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</si>
  <si>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</si>
  <si>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</si>
  <si>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</si>
  <si>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</si>
  <si>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</si>
  <si>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</si>
  <si>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</si>
  <si>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</si>
  <si>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</si>
  <si>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</si>
  <si>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</si>
  <si>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</si>
  <si>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</si>
  <si>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</si>
  <si>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</si>
  <si>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</si>
  <si>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</si>
  <si>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</si>
  <si>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</si>
  <si>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</si>
  <si>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</si>
  <si>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</si>
  <si>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</si>
  <si>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</si>
  <si>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</si>
  <si>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</si>
  <si>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</si>
  <si>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</si>
  <si>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</si>
  <si>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</si>
  <si>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</si>
  <si>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</si>
  <si>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</si>
  <si>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</si>
  <si>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</si>
  <si>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</si>
  <si>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</si>
  <si>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</si>
  <si>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</si>
  <si>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</si>
  <si>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</si>
  <si>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</si>
  <si>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</si>
  <si>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</si>
  <si>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</si>
  <si>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</si>
  <si>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</si>
  <si>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</si>
  <si>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</si>
  <si>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</si>
  <si>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</si>
  <si>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</si>
  <si>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</si>
  <si>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</si>
  <si>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</si>
  <si>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</si>
  <si>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</si>
  <si>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</si>
  <si>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</si>
  <si>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</si>
  <si>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</si>
  <si>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</si>
  <si>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</si>
  <si>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</si>
  <si>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</si>
  <si>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</si>
  <si>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</si>
  <si>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</si>
  <si>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</si>
  <si>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</si>
  <si>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</si>
  <si>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</si>
  <si>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</si>
  <si>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</si>
  <si>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</si>
  <si>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</si>
  <si>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</si>
  <si>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</si>
  <si>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</si>
  <si>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</si>
  <si>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</si>
  <si>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</si>
  <si>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</si>
  <si>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</si>
  <si>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</si>
  <si>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</si>
  <si>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</si>
  <si>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</si>
  <si>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</si>
  <si>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</si>
  <si>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</si>
  <si>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</si>
  <si>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</si>
  <si>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</si>
  <si>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</si>
  <si>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</si>
  <si>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</si>
  <si>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</si>
  <si>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</si>
  <si>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</si>
  <si>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</si>
  <si>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</si>
  <si>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</si>
  <si>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</si>
  <si>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</si>
  <si>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</si>
  <si>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</si>
  <si>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</si>
  <si>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</si>
  <si>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</si>
  <si>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</si>
  <si>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</si>
  <si>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</si>
  <si>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</si>
  <si>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</si>
  <si>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</si>
  <si>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</si>
  <si>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</si>
  <si>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</si>
  <si>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</si>
  <si>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</si>
  <si>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</si>
  <si>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</si>
  <si>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</si>
  <si>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</si>
  <si>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</si>
  <si>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</si>
  <si>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</si>
  <si>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</si>
  <si>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</si>
  <si>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</si>
  <si>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</si>
  <si>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</si>
  <si>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</si>
  <si>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</si>
  <si>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</si>
  <si>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</si>
  <si>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</si>
  <si>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</si>
  <si>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</si>
  <si>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</si>
  <si>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</si>
  <si>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</si>
  <si>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</si>
  <si>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</si>
  <si>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</si>
  <si>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</si>
  <si>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</si>
  <si>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</si>
  <si>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</si>
  <si>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</si>
  <si>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</si>
  <si>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</si>
  <si>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</si>
  <si>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</si>
  <si>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</si>
  <si>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</si>
  <si>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</si>
  <si>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</si>
  <si>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</si>
  <si>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</si>
  <si>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</si>
  <si>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</si>
  <si>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</si>
  <si>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</si>
  <si>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</si>
  <si>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</si>
  <si>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</si>
  <si>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</si>
  <si>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</si>
  <si>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</si>
  <si>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</si>
  <si>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</si>
  <si>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</si>
  <si>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</si>
  <si>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</si>
  <si>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</si>
  <si>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</si>
  <si>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</si>
  <si>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</si>
  <si>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</si>
  <si>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</si>
  <si>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</si>
  <si>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</si>
  <si>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</si>
  <si>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</si>
  <si>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</si>
  <si>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</si>
  <si>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</si>
  <si>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</si>
  <si>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</si>
  <si>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</si>
  <si>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</si>
  <si>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</si>
  <si>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</si>
  <si>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</si>
  <si>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</si>
  <si>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</si>
  <si>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</si>
  <si>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</si>
  <si>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</si>
  <si>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</si>
  <si>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</si>
  <si>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</si>
  <si>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</si>
  <si>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</si>
  <si>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</si>
  <si>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</si>
  <si>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</si>
  <si>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</si>
  <si>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</si>
  <si>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</si>
  <si>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</si>
  <si>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</si>
  <si>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</si>
  <si>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</si>
  <si>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</si>
  <si>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</si>
  <si>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</si>
  <si>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</si>
  <si>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</si>
  <si>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</si>
  <si>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</si>
  <si>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</si>
  <si>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</si>
  <si>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</si>
  <si>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</si>
  <si>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</si>
  <si>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</si>
  <si>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</si>
  <si>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</si>
  <si>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</si>
  <si>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</si>
  <si>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</si>
  <si>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</si>
  <si>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</si>
  <si>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</si>
  <si>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</si>
  <si>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</si>
  <si>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</si>
  <si>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</si>
  <si>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</si>
  <si>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</si>
  <si>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</si>
  <si>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</si>
  <si>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</si>
  <si>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</si>
  <si>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</si>
  <si>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</si>
  <si>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</si>
  <si>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</si>
  <si>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</si>
  <si>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</si>
  <si>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</si>
  <si>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</si>
  <si>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</si>
  <si>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</si>
  <si>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</si>
  <si>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</si>
  <si>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</si>
  <si>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</si>
  <si>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</si>
  <si>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</si>
  <si>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</si>
  <si>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</si>
  <si>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</si>
  <si>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</si>
  <si>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</si>
  <si>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</si>
  <si>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</si>
  <si>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</si>
  <si>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</si>
  <si>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</si>
  <si>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</si>
  <si>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</si>
  <si>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</si>
  <si>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</si>
  <si>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</si>
  <si>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</si>
  <si>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</si>
  <si>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</si>
  <si>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</si>
  <si>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</si>
  <si>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</si>
  <si>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</si>
  <si>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</si>
  <si>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</si>
  <si>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</si>
  <si>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</si>
  <si>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</si>
  <si>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</si>
  <si>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</si>
  <si>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</si>
  <si>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</si>
  <si>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</si>
  <si>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</si>
  <si>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</si>
  <si>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</si>
  <si>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</si>
  <si>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</si>
  <si>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</si>
  <si>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</si>
  <si>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</si>
  <si>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</si>
  <si>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</si>
  <si>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</si>
  <si>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</si>
  <si>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</si>
  <si>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</si>
  <si>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</si>
  <si>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</si>
  <si>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</si>
  <si>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</si>
  <si>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</si>
  <si>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</si>
  <si>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</si>
  <si>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</si>
  <si>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</si>
  <si>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</si>
  <si>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</si>
  <si>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</si>
  <si>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</si>
  <si>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</si>
  <si>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</si>
  <si>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</si>
  <si>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</si>
  <si>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</si>
  <si>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</si>
  <si>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</si>
  <si>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</si>
  <si>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</si>
  <si>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</si>
  <si>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</si>
  <si>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</si>
  <si>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</si>
  <si>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</si>
  <si>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</si>
  <si>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</si>
  <si>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</si>
  <si>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</si>
  <si>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</si>
  <si>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</si>
  <si>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</si>
  <si>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</si>
  <si>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</si>
  <si>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</si>
  <si>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</si>
  <si>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</si>
  <si>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</si>
  <si>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</si>
  <si>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</si>
  <si>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</si>
  <si>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</si>
  <si>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</si>
  <si>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</si>
  <si>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</si>
  <si>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</si>
  <si>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</si>
  <si>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</si>
  <si>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</si>
  <si>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</si>
  <si>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</si>
  <si>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</si>
  <si>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</si>
  <si>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</si>
  <si>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</si>
  <si>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</si>
  <si>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</si>
  <si>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</si>
  <si>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</si>
  <si>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</si>
  <si>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</si>
  <si>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</si>
  <si>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</si>
  <si>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</si>
  <si>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</si>
  <si>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</si>
  <si>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</si>
  <si>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</si>
  <si>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</si>
  <si>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</si>
  <si>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</si>
  <si>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</si>
  <si>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</si>
  <si>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</si>
  <si>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</si>
  <si>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</si>
  <si>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</si>
  <si>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</si>
  <si>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</si>
  <si>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</si>
  <si>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</si>
  <si>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</si>
  <si>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</si>
  <si>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</si>
  <si>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</si>
  <si>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</si>
  <si>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</si>
  <si>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</si>
  <si>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</si>
  <si>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</si>
  <si>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</si>
  <si>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</si>
  <si>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</si>
  <si>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</si>
  <si>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</si>
  <si>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</si>
  <si>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</si>
  <si>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</si>
  <si>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</si>
  <si>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</si>
  <si>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</si>
  <si>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</si>
  <si>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</si>
  <si>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</si>
  <si>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</si>
  <si>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</si>
  <si>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</si>
  <si>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</si>
  <si>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</si>
  <si>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</si>
  <si>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</si>
  <si>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</si>
  <si>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</si>
  <si>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</si>
  <si>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</si>
  <si>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</si>
  <si>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</si>
  <si>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</si>
  <si>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</si>
  <si>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</si>
  <si>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</si>
  <si>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</si>
  <si>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</si>
  <si>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</si>
  <si>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</si>
  <si>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</si>
  <si>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</si>
  <si>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</si>
  <si>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</si>
  <si>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</si>
  <si>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</si>
  <si>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</si>
  <si>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</si>
  <si>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</si>
  <si>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</si>
  <si>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</si>
  <si>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</si>
  <si>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</si>
  <si>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</si>
  <si>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</si>
  <si>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</si>
  <si>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</si>
  <si>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</si>
  <si>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</si>
  <si>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</si>
  <si>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</si>
  <si>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</si>
  <si>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</si>
  <si>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</si>
  <si>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</si>
  <si>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</si>
  <si>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</si>
  <si>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</si>
  <si>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</si>
  <si>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</si>
  <si>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</si>
  <si>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</si>
  <si>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</si>
  <si>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</si>
  <si>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</si>
  <si>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</si>
  <si>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</si>
  <si>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</si>
  <si>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</si>
  <si>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</si>
  <si>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</si>
  <si>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</si>
  <si>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</si>
  <si>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</si>
  <si>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</si>
  <si>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</si>
  <si>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</si>
  <si>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</si>
  <si>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</si>
  <si>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</si>
  <si>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</si>
  <si>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</si>
  <si>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</si>
  <si>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</si>
  <si>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</si>
  <si>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</si>
  <si>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</si>
  <si>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</si>
  <si>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</si>
  <si>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</si>
  <si>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</si>
  <si>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</si>
  <si>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</si>
  <si>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</si>
  <si>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</si>
  <si>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</si>
  <si>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</si>
  <si>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</si>
  <si>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</si>
  <si>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</si>
  <si>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</si>
  <si>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</si>
  <si>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</si>
  <si>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</si>
  <si>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</si>
  <si>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</si>
  <si>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</si>
  <si>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</si>
  <si>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</si>
  <si>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</si>
  <si>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</si>
  <si>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</si>
  <si>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</si>
  <si>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</si>
  <si>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</si>
  <si>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</si>
  <si>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</si>
  <si>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</si>
  <si>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</si>
  <si>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</si>
  <si>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</si>
  <si>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</si>
  <si>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</si>
  <si>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</si>
  <si>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</si>
  <si>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</si>
  <si>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</si>
  <si>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</si>
  <si>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</si>
  <si>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</si>
  <si>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</si>
  <si>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</si>
  <si>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</si>
  <si>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</si>
  <si>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</si>
  <si>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</si>
  <si>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</si>
  <si>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</si>
  <si>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</si>
  <si>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</si>
  <si>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</si>
  <si>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</si>
  <si>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</si>
  <si>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</si>
  <si>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</si>
  <si>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</si>
  <si>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</si>
  <si>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</si>
  <si>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</si>
  <si>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</si>
  <si>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</si>
  <si>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</si>
  <si>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</si>
  <si>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</si>
  <si>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</si>
  <si>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</si>
  <si>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</si>
  <si>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</si>
  <si>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</si>
  <si>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</si>
  <si>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</si>
  <si>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</si>
  <si>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</si>
  <si>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</si>
  <si>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</si>
  <si>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</si>
  <si>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</si>
  <si>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</si>
  <si>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</si>
  <si>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</si>
  <si>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</si>
  <si>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</si>
  <si>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</si>
  <si>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</si>
  <si>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</si>
  <si>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</si>
  <si>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</si>
  <si>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</si>
  <si>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</si>
  <si>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</si>
  <si>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</si>
  <si>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</si>
  <si>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</si>
  <si>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</si>
  <si>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</si>
  <si>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</si>
  <si>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</si>
  <si>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BG</t>
  </si>
  <si>
    <t>Ministry of Environment and Water</t>
  </si>
  <si>
    <t/>
  </si>
  <si>
    <t>Executive Environment Agency</t>
  </si>
  <si>
    <t>Regional Inspectorates of Environment and Water</t>
  </si>
  <si>
    <t>Council of Ministers of the Republic of Bulgaria</t>
  </si>
  <si>
    <t>MOEW</t>
  </si>
  <si>
    <t>ExEA</t>
  </si>
  <si>
    <t>RIEW</t>
  </si>
  <si>
    <t>CMRB</t>
  </si>
  <si>
    <t>+359 2 940 61 44</t>
  </si>
  <si>
    <t>+359 2 955 90 22</t>
  </si>
  <si>
    <t>+359 2 940 64 98</t>
  </si>
  <si>
    <t>+359 2 940 27 70</t>
  </si>
  <si>
    <t>dpetrova@moew.government.bg</t>
  </si>
  <si>
    <t>iaos@eea.government.bg</t>
  </si>
  <si>
    <t>riosv@riew-sofia.org</t>
  </si>
  <si>
    <t>GIS@government.bg</t>
  </si>
  <si>
    <t>http://www.moew.government.bg</t>
  </si>
  <si>
    <t>http://eea.government.bg</t>
  </si>
  <si>
    <t>http://www.government.bg/</t>
  </si>
  <si>
    <t>Executive agency Bulgarian accreditation service</t>
  </si>
  <si>
    <t>EABAS</t>
  </si>
  <si>
    <t>35929766401</t>
  </si>
  <si>
    <t>office@nab-bas.bg</t>
  </si>
  <si>
    <t>www.nab-bas.bg</t>
  </si>
  <si>
    <t>35929559022</t>
  </si>
  <si>
    <t>MOEW,CMRB</t>
  </si>
  <si>
    <t xml:space="preserve"> MOEW</t>
  </si>
  <si>
    <t>MOEW,ExEA</t>
  </si>
  <si>
    <t xml:space="preserve"> ExEA</t>
  </si>
  <si>
    <t>ExEA,RIEW</t>
  </si>
  <si>
    <t>CA's representatives participate in the Technical Committee, managed by NAB</t>
  </si>
  <si>
    <t>When can permits be withdrawn by the competent authority? Cessation of operation; non-compliance with permit conditions; decrease of capacity under the threshold</t>
  </si>
  <si>
    <t>The permit is updated in any case of change in the installed capacity</t>
  </si>
  <si>
    <t>In accordance with Art. 15 (3) of COMMISSION IMPLEMENTING REGULATION (EU) 2018/2066</t>
  </si>
  <si>
    <t>In 2013 a new Climate Change Mitigation Act has been adopted (amended SG, 20/03/2020) Other more specific requirements are listed in: 1) Ordinance on the manner of issuing and reviewing GHGs emissions permits of installations and monitoring by operators and aircraft operators, participating in the EU ETS (SG, 27/11/2020) 2) Ordinance for the conditions and terms for reporting and verification of reports of the operators of installations and aircraft operators (SG, 09/09/2014) 3) Ordinance for the order and manner of administration of the national registry for GHG emission allowances trade (SG, 05/01/2018)</t>
  </si>
  <si>
    <t>biogas</t>
  </si>
  <si>
    <t>biomass</t>
  </si>
  <si>
    <t>natural gas</t>
  </si>
  <si>
    <t>95</t>
  </si>
  <si>
    <t>152</t>
  </si>
  <si>
    <t>130</t>
  </si>
  <si>
    <t>33</t>
  </si>
  <si>
    <t>no</t>
  </si>
  <si>
    <t>GR, CZ</t>
  </si>
  <si>
    <t>CZ</t>
  </si>
  <si>
    <t>125</t>
  </si>
  <si>
    <t>58</t>
  </si>
  <si>
    <t>46</t>
  </si>
  <si>
    <t>135</t>
  </si>
  <si>
    <t>131</t>
  </si>
  <si>
    <t>148</t>
  </si>
  <si>
    <t>203535</t>
  </si>
  <si>
    <t>202192</t>
  </si>
  <si>
    <t>Presented data from the Regional Inspectorates of Environment and Water</t>
  </si>
  <si>
    <t>Data for activity level reported to the MOEW; information about the operation of the instalation-provided from RIEW.</t>
  </si>
  <si>
    <t>0</t>
  </si>
  <si>
    <t>The annual exchange of information from the competent authority to the National Accreditation Bodies, according to Art. 73 of Regulation (EU) № 2018/2067</t>
  </si>
  <si>
    <t>_</t>
  </si>
  <si>
    <t>215300</t>
  </si>
  <si>
    <t>Cargo Air OOD</t>
  </si>
  <si>
    <t>It was found that some parameters were incorrectly reported.</t>
  </si>
  <si>
    <t>The operators were requested to correct the data and to resubmit the reports.</t>
  </si>
  <si>
    <t>Fee for opening of operator and aircraft operator accounts</t>
  </si>
  <si>
    <t>Fee for opening of trading accounts</t>
  </si>
  <si>
    <t>Fee for opening of verifier accounts</t>
  </si>
  <si>
    <t>Fee Verify</t>
  </si>
  <si>
    <t>Fee Trade</t>
  </si>
  <si>
    <t>Fee for operator and aircraft operators</t>
  </si>
  <si>
    <t>The monitoring plan is part of the GHG emissions permit and the infringement is the same as for exploitation without a permit</t>
  </si>
  <si>
    <t>This would be a reason for refusal to issue a permit</t>
  </si>
  <si>
    <t>Infringement for non-compliance with the permit conditions</t>
  </si>
  <si>
    <t>Pursuant to the Climate Change Act the emissions should be reported by the ExEA with conservative estimate</t>
  </si>
  <si>
    <t xml:space="preserve">The Climate Change Act </t>
  </si>
  <si>
    <t>The free allocated allowances are classified as Government grants and in this case the IAS 38 Intangible Assets is applied. For the traders of allowances the rules of IAS 2 (Inventories) have to be applied. In this case the allowances are considered as “assets classified as held for sale”</t>
  </si>
  <si>
    <t>If the allowances are allocated for free, they are classified as non-depreciable assets for the purposes of accounting. For the traders – the allowances can’t be classified pursuant to the National Accounting Standards for Small and Medium-sized Enterprises. The rules of IAS 1 (p.3 b) and p. 25.2 b)) Presentation of Financial Statement have to be applied.</t>
  </si>
  <si>
    <t>VAT</t>
  </si>
  <si>
    <t>10</t>
  </si>
  <si>
    <t>In case of suspicion of fraudulent activity related to the free allocation of allowances the ExEA should without delay notify the Financial Investigation Directorate of the State Agency for National Security and to undertake the suitable measures to collect information regarding the person responsible for the fraudulent activity</t>
  </si>
  <si>
    <t>yes</t>
  </si>
  <si>
    <t>In case of suspicion of fraudulent activity related to the free allocation of allowances the ExEA should without delay notify the Financial Investigation Directorate of the State Agency for National Security and to delay, if possible according to the legislative requirements for the relevant activity, the transfer of allowances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</si>
</sst>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726"/>
  <sheetViews>
    <sheetView topLeftCell="A706" workbookViewId="0">
      <selection activeCell="O726" sqref="O726"/>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1749</v>
      </c>
      <c r="C2" t="s">
        <v>1750</v>
      </c>
      <c r="D2">
        <v>1</v>
      </c>
      <c r="E2" t="s">
        <v>1447</v>
      </c>
      <c r="F2" t="s">
        <v>1751</v>
      </c>
      <c r="G2" t="s">
        <v>1741</v>
      </c>
      <c r="H2" t="s">
        <v>2278</v>
      </c>
      <c r="I2" t="s">
        <v>2279</v>
      </c>
      <c r="J2" t="s">
        <v>2279</v>
      </c>
      <c r="K2" t="s">
        <v>2279</v>
      </c>
      <c r="L2" t="s">
        <v>2279</v>
      </c>
      <c r="M2" t="s">
        <v>2279</v>
      </c>
      <c r="N2" t="s">
        <v>2279</v>
      </c>
      <c r="O2" s="190" t="str">
        <f t="shared" ref="O2:O65" si="0">"["&amp;$C2&amp;"]["&amp;$D2&amp;"]["&amp;$F2&amp;"]"</f>
        <v>[S02_CompetentAuthority][1][CAName]</v>
      </c>
    </row>
    <row r="3" spans="1:18" x14ac:dyDescent="0.3">
      <c r="A3" t="s">
        <v>2277</v>
      </c>
      <c r="B3" t="s">
        <v>1749</v>
      </c>
      <c r="C3" t="s">
        <v>1750</v>
      </c>
      <c r="D3">
        <v>2</v>
      </c>
      <c r="E3" t="s">
        <v>1447</v>
      </c>
      <c r="F3" t="s">
        <v>1751</v>
      </c>
      <c r="G3" t="s">
        <v>1741</v>
      </c>
      <c r="H3" t="s">
        <v>2280</v>
      </c>
      <c r="I3" t="s">
        <v>2279</v>
      </c>
      <c r="J3" t="s">
        <v>2279</v>
      </c>
      <c r="K3" t="s">
        <v>2279</v>
      </c>
      <c r="L3" t="s">
        <v>2279</v>
      </c>
      <c r="M3" t="s">
        <v>2279</v>
      </c>
      <c r="N3" t="s">
        <v>2279</v>
      </c>
      <c r="O3" s="190" t="str">
        <f t="shared" si="0"/>
        <v>[S02_CompetentAuthority][2][CAName]</v>
      </c>
    </row>
    <row r="4" spans="1:18" x14ac:dyDescent="0.3">
      <c r="A4" t="s">
        <v>2277</v>
      </c>
      <c r="B4" t="s">
        <v>1749</v>
      </c>
      <c r="C4" t="s">
        <v>1750</v>
      </c>
      <c r="D4">
        <v>3</v>
      </c>
      <c r="E4" t="s">
        <v>1447</v>
      </c>
      <c r="F4" t="s">
        <v>1751</v>
      </c>
      <c r="G4" t="s">
        <v>1741</v>
      </c>
      <c r="H4" t="s">
        <v>2281</v>
      </c>
      <c r="I4" t="s">
        <v>2279</v>
      </c>
      <c r="J4" t="s">
        <v>2279</v>
      </c>
      <c r="K4" t="s">
        <v>2279</v>
      </c>
      <c r="L4" t="s">
        <v>2279</v>
      </c>
      <c r="M4" t="s">
        <v>2279</v>
      </c>
      <c r="N4" t="s">
        <v>2279</v>
      </c>
      <c r="O4" s="190" t="str">
        <f t="shared" si="0"/>
        <v>[S02_CompetentAuthority][3][CAName]</v>
      </c>
    </row>
    <row r="5" spans="1:18" x14ac:dyDescent="0.3">
      <c r="A5" t="s">
        <v>2277</v>
      </c>
      <c r="B5" t="s">
        <v>1749</v>
      </c>
      <c r="C5" t="s">
        <v>1750</v>
      </c>
      <c r="D5">
        <v>4</v>
      </c>
      <c r="E5" t="s">
        <v>1447</v>
      </c>
      <c r="F5" t="s">
        <v>1751</v>
      </c>
      <c r="G5" t="s">
        <v>1741</v>
      </c>
      <c r="H5" t="s">
        <v>2282</v>
      </c>
      <c r="I5" t="s">
        <v>2279</v>
      </c>
      <c r="J5" t="s">
        <v>2279</v>
      </c>
      <c r="K5" t="s">
        <v>2279</v>
      </c>
      <c r="L5" t="s">
        <v>2279</v>
      </c>
      <c r="M5" t="s">
        <v>2279</v>
      </c>
      <c r="N5" t="s">
        <v>2279</v>
      </c>
      <c r="O5" s="190" t="str">
        <f t="shared" si="0"/>
        <v>[S02_CompetentAuthority][4][CAName]</v>
      </c>
    </row>
    <row r="6" spans="1:18" x14ac:dyDescent="0.3">
      <c r="A6" t="s">
        <v>2277</v>
      </c>
      <c r="B6" t="s">
        <v>1749</v>
      </c>
      <c r="C6" t="s">
        <v>1750</v>
      </c>
      <c r="D6">
        <v>1</v>
      </c>
      <c r="E6" t="s">
        <v>1447</v>
      </c>
      <c r="F6" t="s">
        <v>1752</v>
      </c>
      <c r="G6" t="s">
        <v>1741</v>
      </c>
      <c r="H6" t="s">
        <v>2283</v>
      </c>
      <c r="I6" t="s">
        <v>2279</v>
      </c>
      <c r="J6" t="s">
        <v>2279</v>
      </c>
      <c r="K6" t="s">
        <v>2279</v>
      </c>
      <c r="L6" t="s">
        <v>2279</v>
      </c>
      <c r="M6" t="s">
        <v>2279</v>
      </c>
      <c r="N6" t="s">
        <v>2279</v>
      </c>
      <c r="O6" s="190" t="str">
        <f t="shared" si="0"/>
        <v>[S02_CompetentAuthority][1][CAAbbreviation]</v>
      </c>
    </row>
    <row r="7" spans="1:18" x14ac:dyDescent="0.3">
      <c r="A7" t="s">
        <v>2277</v>
      </c>
      <c r="B7" t="s">
        <v>1749</v>
      </c>
      <c r="C7" t="s">
        <v>1750</v>
      </c>
      <c r="D7">
        <v>2</v>
      </c>
      <c r="E7" t="s">
        <v>1447</v>
      </c>
      <c r="F7" t="s">
        <v>1752</v>
      </c>
      <c r="G7" t="s">
        <v>1741</v>
      </c>
      <c r="H7" t="s">
        <v>2284</v>
      </c>
      <c r="I7" t="s">
        <v>2279</v>
      </c>
      <c r="J7" t="s">
        <v>2279</v>
      </c>
      <c r="K7" t="s">
        <v>2279</v>
      </c>
      <c r="L7" t="s">
        <v>2279</v>
      </c>
      <c r="M7" t="s">
        <v>2279</v>
      </c>
      <c r="N7" t="s">
        <v>2279</v>
      </c>
      <c r="O7" s="190" t="str">
        <f t="shared" si="0"/>
        <v>[S02_CompetentAuthority][2][CAAbbreviation]</v>
      </c>
    </row>
    <row r="8" spans="1:18" x14ac:dyDescent="0.3">
      <c r="A8" t="s">
        <v>2277</v>
      </c>
      <c r="B8" t="s">
        <v>1749</v>
      </c>
      <c r="C8" t="s">
        <v>1750</v>
      </c>
      <c r="D8">
        <v>3</v>
      </c>
      <c r="E8" t="s">
        <v>1447</v>
      </c>
      <c r="F8" t="s">
        <v>1752</v>
      </c>
      <c r="G8" t="s">
        <v>1741</v>
      </c>
      <c r="H8" t="s">
        <v>2285</v>
      </c>
      <c r="I8" t="s">
        <v>2279</v>
      </c>
      <c r="J8" t="s">
        <v>2279</v>
      </c>
      <c r="K8" t="s">
        <v>2279</v>
      </c>
      <c r="L8" t="s">
        <v>2279</v>
      </c>
      <c r="M8" t="s">
        <v>2279</v>
      </c>
      <c r="N8" t="s">
        <v>2279</v>
      </c>
      <c r="O8" s="190" t="str">
        <f t="shared" si="0"/>
        <v>[S02_CompetentAuthority][3][CAAbbreviation]</v>
      </c>
    </row>
    <row r="9" spans="1:18" x14ac:dyDescent="0.3">
      <c r="A9" t="s">
        <v>2277</v>
      </c>
      <c r="B9" t="s">
        <v>1749</v>
      </c>
      <c r="C9" t="s">
        <v>1750</v>
      </c>
      <c r="D9">
        <v>4</v>
      </c>
      <c r="E9" t="s">
        <v>1447</v>
      </c>
      <c r="F9" t="s">
        <v>1752</v>
      </c>
      <c r="G9" t="s">
        <v>1741</v>
      </c>
      <c r="H9" t="s">
        <v>2286</v>
      </c>
      <c r="I9" t="s">
        <v>2279</v>
      </c>
      <c r="J9" t="s">
        <v>2279</v>
      </c>
      <c r="K9" t="s">
        <v>2279</v>
      </c>
      <c r="L9" t="s">
        <v>2279</v>
      </c>
      <c r="M9" t="s">
        <v>2279</v>
      </c>
      <c r="N9" t="s">
        <v>2279</v>
      </c>
      <c r="O9" s="190" t="str">
        <f t="shared" si="0"/>
        <v>[S02_CompetentAuthority][4][CAAbbreviation]</v>
      </c>
    </row>
    <row r="10" spans="1:18" x14ac:dyDescent="0.3">
      <c r="A10" t="s">
        <v>2277</v>
      </c>
      <c r="B10" t="s">
        <v>1749</v>
      </c>
      <c r="C10" t="s">
        <v>1750</v>
      </c>
      <c r="D10">
        <v>1</v>
      </c>
      <c r="E10" t="s">
        <v>1447</v>
      </c>
      <c r="F10" t="s">
        <v>1753</v>
      </c>
      <c r="G10" t="s">
        <v>1741</v>
      </c>
      <c r="H10" t="s">
        <v>1422</v>
      </c>
      <c r="I10" t="s">
        <v>2279</v>
      </c>
      <c r="J10" t="s">
        <v>2279</v>
      </c>
      <c r="K10" t="s">
        <v>2279</v>
      </c>
      <c r="L10" t="s">
        <v>2279</v>
      </c>
      <c r="M10" t="s">
        <v>2279</v>
      </c>
      <c r="N10" t="s">
        <v>2279</v>
      </c>
      <c r="O10" s="190" t="str">
        <f t="shared" si="0"/>
        <v>[S02_CompetentAuthority][1][CAType]</v>
      </c>
    </row>
    <row r="11" spans="1:18" x14ac:dyDescent="0.3">
      <c r="A11" t="s">
        <v>2277</v>
      </c>
      <c r="B11" t="s">
        <v>1749</v>
      </c>
      <c r="C11" t="s">
        <v>1750</v>
      </c>
      <c r="D11">
        <v>2</v>
      </c>
      <c r="E11" t="s">
        <v>1447</v>
      </c>
      <c r="F11" t="s">
        <v>1753</v>
      </c>
      <c r="G11" t="s">
        <v>1741</v>
      </c>
      <c r="H11" t="s">
        <v>1422</v>
      </c>
      <c r="I11" t="s">
        <v>2279</v>
      </c>
      <c r="J11" t="s">
        <v>2279</v>
      </c>
      <c r="K11" t="s">
        <v>2279</v>
      </c>
      <c r="L11" t="s">
        <v>2279</v>
      </c>
      <c r="M11" t="s">
        <v>2279</v>
      </c>
      <c r="N11" t="s">
        <v>2279</v>
      </c>
      <c r="O11" s="190" t="str">
        <f t="shared" si="0"/>
        <v>[S02_CompetentAuthority][2][CAType]</v>
      </c>
    </row>
    <row r="12" spans="1:18" x14ac:dyDescent="0.3">
      <c r="A12" t="s">
        <v>2277</v>
      </c>
      <c r="B12" t="s">
        <v>1749</v>
      </c>
      <c r="C12" t="s">
        <v>1750</v>
      </c>
      <c r="D12">
        <v>3</v>
      </c>
      <c r="E12" t="s">
        <v>1447</v>
      </c>
      <c r="F12" t="s">
        <v>1753</v>
      </c>
      <c r="G12" t="s">
        <v>1741</v>
      </c>
      <c r="H12" t="s">
        <v>1450</v>
      </c>
      <c r="I12" t="s">
        <v>2279</v>
      </c>
      <c r="J12" t="s">
        <v>2279</v>
      </c>
      <c r="K12" t="s">
        <v>2279</v>
      </c>
      <c r="L12" t="s">
        <v>2279</v>
      </c>
      <c r="M12" t="s">
        <v>2279</v>
      </c>
      <c r="N12" t="s">
        <v>2279</v>
      </c>
      <c r="O12" s="190" t="str">
        <f t="shared" si="0"/>
        <v>[S02_CompetentAuthority][3][CAType]</v>
      </c>
    </row>
    <row r="13" spans="1:18" x14ac:dyDescent="0.3">
      <c r="A13" t="s">
        <v>2277</v>
      </c>
      <c r="B13" t="s">
        <v>1749</v>
      </c>
      <c r="C13" t="s">
        <v>1750</v>
      </c>
      <c r="D13">
        <v>4</v>
      </c>
      <c r="E13" t="s">
        <v>1447</v>
      </c>
      <c r="F13" t="s">
        <v>1753</v>
      </c>
      <c r="G13" t="s">
        <v>1741</v>
      </c>
      <c r="H13" t="s">
        <v>1227</v>
      </c>
      <c r="I13" t="s">
        <v>2279</v>
      </c>
      <c r="J13" t="s">
        <v>2279</v>
      </c>
      <c r="K13" t="s">
        <v>2279</v>
      </c>
      <c r="L13" t="s">
        <v>2279</v>
      </c>
      <c r="M13" t="s">
        <v>2279</v>
      </c>
      <c r="N13" t="s">
        <v>2279</v>
      </c>
      <c r="O13" s="190" t="str">
        <f t="shared" si="0"/>
        <v>[S02_CompetentAuthority][4][CAType]</v>
      </c>
    </row>
    <row r="14" spans="1:18" x14ac:dyDescent="0.3">
      <c r="A14" t="s">
        <v>2277</v>
      </c>
      <c r="B14" t="s">
        <v>1749</v>
      </c>
      <c r="C14" t="s">
        <v>1750</v>
      </c>
      <c r="D14">
        <v>1</v>
      </c>
      <c r="E14" t="s">
        <v>1447</v>
      </c>
      <c r="F14" t="s">
        <v>1754</v>
      </c>
      <c r="G14" t="s">
        <v>1741</v>
      </c>
      <c r="H14" t="s">
        <v>2287</v>
      </c>
      <c r="I14" t="s">
        <v>2279</v>
      </c>
      <c r="J14" t="s">
        <v>2279</v>
      </c>
      <c r="K14" t="s">
        <v>2279</v>
      </c>
      <c r="L14" t="s">
        <v>2279</v>
      </c>
      <c r="M14" t="s">
        <v>2279</v>
      </c>
      <c r="N14" t="s">
        <v>2279</v>
      </c>
      <c r="O14" s="190" t="str">
        <f t="shared" si="0"/>
        <v>[S02_CompetentAuthority][1][CANumber]</v>
      </c>
    </row>
    <row r="15" spans="1:18" x14ac:dyDescent="0.3">
      <c r="A15" t="s">
        <v>2277</v>
      </c>
      <c r="B15" t="s">
        <v>1749</v>
      </c>
      <c r="C15" t="s">
        <v>1750</v>
      </c>
      <c r="D15">
        <v>2</v>
      </c>
      <c r="E15" t="s">
        <v>1447</v>
      </c>
      <c r="F15" t="s">
        <v>1754</v>
      </c>
      <c r="G15" t="s">
        <v>1741</v>
      </c>
      <c r="H15" t="s">
        <v>2288</v>
      </c>
      <c r="I15" t="s">
        <v>2279</v>
      </c>
      <c r="J15" t="s">
        <v>2279</v>
      </c>
      <c r="K15" t="s">
        <v>2279</v>
      </c>
      <c r="L15" t="s">
        <v>2279</v>
      </c>
      <c r="M15" t="s">
        <v>2279</v>
      </c>
      <c r="N15" t="s">
        <v>2279</v>
      </c>
      <c r="O15" s="190" t="str">
        <f t="shared" si="0"/>
        <v>[S02_CompetentAuthority][2][CANumber]</v>
      </c>
    </row>
    <row r="16" spans="1:18" x14ac:dyDescent="0.3">
      <c r="A16" t="s">
        <v>2277</v>
      </c>
      <c r="B16" t="s">
        <v>1749</v>
      </c>
      <c r="C16" t="s">
        <v>1750</v>
      </c>
      <c r="D16">
        <v>3</v>
      </c>
      <c r="E16" t="s">
        <v>1447</v>
      </c>
      <c r="F16" t="s">
        <v>1754</v>
      </c>
      <c r="G16" t="s">
        <v>1741</v>
      </c>
      <c r="H16" t="s">
        <v>2289</v>
      </c>
      <c r="I16" t="s">
        <v>2279</v>
      </c>
      <c r="J16" t="s">
        <v>2279</v>
      </c>
      <c r="K16" t="s">
        <v>2279</v>
      </c>
      <c r="L16" t="s">
        <v>2279</v>
      </c>
      <c r="M16" t="s">
        <v>2279</v>
      </c>
      <c r="N16" t="s">
        <v>2279</v>
      </c>
      <c r="O16" s="190" t="str">
        <f t="shared" si="0"/>
        <v>[S02_CompetentAuthority][3][CANumber]</v>
      </c>
    </row>
    <row r="17" spans="1:15" x14ac:dyDescent="0.3">
      <c r="A17" t="s">
        <v>2277</v>
      </c>
      <c r="B17" t="s">
        <v>1749</v>
      </c>
      <c r="C17" t="s">
        <v>1750</v>
      </c>
      <c r="D17">
        <v>4</v>
      </c>
      <c r="E17" t="s">
        <v>1447</v>
      </c>
      <c r="F17" t="s">
        <v>1754</v>
      </c>
      <c r="G17" t="s">
        <v>1741</v>
      </c>
      <c r="H17" t="s">
        <v>2290</v>
      </c>
      <c r="I17" t="s">
        <v>2279</v>
      </c>
      <c r="J17" t="s">
        <v>2279</v>
      </c>
      <c r="K17" t="s">
        <v>2279</v>
      </c>
      <c r="L17" t="s">
        <v>2279</v>
      </c>
      <c r="M17" t="s">
        <v>2279</v>
      </c>
      <c r="N17" t="s">
        <v>2279</v>
      </c>
      <c r="O17" s="190" t="str">
        <f t="shared" si="0"/>
        <v>[S02_CompetentAuthority][4][CANumber]</v>
      </c>
    </row>
    <row r="18" spans="1:15" x14ac:dyDescent="0.3">
      <c r="A18" t="s">
        <v>2277</v>
      </c>
      <c r="B18" t="s">
        <v>1749</v>
      </c>
      <c r="C18" t="s">
        <v>1750</v>
      </c>
      <c r="D18">
        <v>1</v>
      </c>
      <c r="E18" t="s">
        <v>1447</v>
      </c>
      <c r="F18" t="s">
        <v>1756</v>
      </c>
      <c r="G18" t="s">
        <v>1741</v>
      </c>
      <c r="H18" t="s">
        <v>2291</v>
      </c>
      <c r="I18" t="s">
        <v>2279</v>
      </c>
      <c r="J18" t="s">
        <v>2279</v>
      </c>
      <c r="K18" t="s">
        <v>2279</v>
      </c>
      <c r="L18" t="s">
        <v>2279</v>
      </c>
      <c r="M18" t="s">
        <v>2279</v>
      </c>
      <c r="N18" t="s">
        <v>2279</v>
      </c>
      <c r="O18" s="190" t="str">
        <f t="shared" si="0"/>
        <v>[S02_CompetentAuthority][1][CAEmail]</v>
      </c>
    </row>
    <row r="19" spans="1:15" x14ac:dyDescent="0.3">
      <c r="A19" t="s">
        <v>2277</v>
      </c>
      <c r="B19" t="s">
        <v>1749</v>
      </c>
      <c r="C19" t="s">
        <v>1750</v>
      </c>
      <c r="D19">
        <v>2</v>
      </c>
      <c r="E19" t="s">
        <v>1447</v>
      </c>
      <c r="F19" t="s">
        <v>1756</v>
      </c>
      <c r="G19" t="s">
        <v>1741</v>
      </c>
      <c r="H19" t="s">
        <v>2292</v>
      </c>
      <c r="I19" t="s">
        <v>2279</v>
      </c>
      <c r="J19" t="s">
        <v>2279</v>
      </c>
      <c r="K19" t="s">
        <v>2279</v>
      </c>
      <c r="L19" t="s">
        <v>2279</v>
      </c>
      <c r="M19" t="s">
        <v>2279</v>
      </c>
      <c r="N19" t="s">
        <v>2279</v>
      </c>
      <c r="O19" s="190" t="str">
        <f t="shared" si="0"/>
        <v>[S02_CompetentAuthority][2][CAEmail]</v>
      </c>
    </row>
    <row r="20" spans="1:15" x14ac:dyDescent="0.3">
      <c r="A20" t="s">
        <v>2277</v>
      </c>
      <c r="B20" t="s">
        <v>1749</v>
      </c>
      <c r="C20" t="s">
        <v>1750</v>
      </c>
      <c r="D20">
        <v>3</v>
      </c>
      <c r="E20" t="s">
        <v>1447</v>
      </c>
      <c r="F20" t="s">
        <v>1756</v>
      </c>
      <c r="G20" t="s">
        <v>1741</v>
      </c>
      <c r="H20" t="s">
        <v>2293</v>
      </c>
      <c r="I20" t="s">
        <v>2279</v>
      </c>
      <c r="J20" t="s">
        <v>2279</v>
      </c>
      <c r="K20" t="s">
        <v>2279</v>
      </c>
      <c r="L20" t="s">
        <v>2279</v>
      </c>
      <c r="M20" t="s">
        <v>2279</v>
      </c>
      <c r="N20" t="s">
        <v>2279</v>
      </c>
      <c r="O20" s="190" t="str">
        <f t="shared" si="0"/>
        <v>[S02_CompetentAuthority][3][CAEmail]</v>
      </c>
    </row>
    <row r="21" spans="1:15" x14ac:dyDescent="0.3">
      <c r="A21" t="s">
        <v>2277</v>
      </c>
      <c r="B21" t="s">
        <v>1749</v>
      </c>
      <c r="C21" t="s">
        <v>1750</v>
      </c>
      <c r="D21">
        <v>4</v>
      </c>
      <c r="E21" t="s">
        <v>1447</v>
      </c>
      <c r="F21" t="s">
        <v>1756</v>
      </c>
      <c r="G21" t="s">
        <v>1741</v>
      </c>
      <c r="H21" t="s">
        <v>2294</v>
      </c>
      <c r="I21" t="s">
        <v>2279</v>
      </c>
      <c r="J21" t="s">
        <v>2279</v>
      </c>
      <c r="K21" t="s">
        <v>2279</v>
      </c>
      <c r="L21" t="s">
        <v>2279</v>
      </c>
      <c r="M21" t="s">
        <v>2279</v>
      </c>
      <c r="N21" t="s">
        <v>2279</v>
      </c>
      <c r="O21" s="190" t="str">
        <f t="shared" si="0"/>
        <v>[S02_CompetentAuthority][4][CAEmail]</v>
      </c>
    </row>
    <row r="22" spans="1:15" x14ac:dyDescent="0.3">
      <c r="A22" t="s">
        <v>2277</v>
      </c>
      <c r="B22" t="s">
        <v>1749</v>
      </c>
      <c r="C22" t="s">
        <v>1750</v>
      </c>
      <c r="D22">
        <v>1</v>
      </c>
      <c r="E22" t="s">
        <v>1447</v>
      </c>
      <c r="F22" t="s">
        <v>1757</v>
      </c>
      <c r="G22" t="s">
        <v>1741</v>
      </c>
      <c r="H22" t="s">
        <v>2295</v>
      </c>
      <c r="I22" t="s">
        <v>2279</v>
      </c>
      <c r="J22" t="s">
        <v>2279</v>
      </c>
      <c r="K22" t="s">
        <v>2279</v>
      </c>
      <c r="L22" t="s">
        <v>2279</v>
      </c>
      <c r="M22" t="s">
        <v>2279</v>
      </c>
      <c r="N22" t="s">
        <v>2279</v>
      </c>
      <c r="O22" s="190" t="str">
        <f t="shared" si="0"/>
        <v>[S02_CompetentAuthority][1][CAWebsite]</v>
      </c>
    </row>
    <row r="23" spans="1:15" x14ac:dyDescent="0.3">
      <c r="A23" t="s">
        <v>2277</v>
      </c>
      <c r="B23" t="s">
        <v>1749</v>
      </c>
      <c r="C23" t="s">
        <v>1750</v>
      </c>
      <c r="D23">
        <v>2</v>
      </c>
      <c r="E23" t="s">
        <v>1447</v>
      </c>
      <c r="F23" t="s">
        <v>1757</v>
      </c>
      <c r="G23" t="s">
        <v>1741</v>
      </c>
      <c r="H23" t="s">
        <v>2296</v>
      </c>
      <c r="I23" t="s">
        <v>2279</v>
      </c>
      <c r="J23" t="s">
        <v>2279</v>
      </c>
      <c r="K23" t="s">
        <v>2279</v>
      </c>
      <c r="L23" t="s">
        <v>2279</v>
      </c>
      <c r="M23" t="s">
        <v>2279</v>
      </c>
      <c r="N23" t="s">
        <v>2279</v>
      </c>
      <c r="O23" s="190" t="str">
        <f t="shared" si="0"/>
        <v>[S02_CompetentAuthority][2][CAWebsite]</v>
      </c>
    </row>
    <row r="24" spans="1:15" x14ac:dyDescent="0.3">
      <c r="A24" t="s">
        <v>2277</v>
      </c>
      <c r="B24" t="s">
        <v>1749</v>
      </c>
      <c r="C24" t="s">
        <v>1750</v>
      </c>
      <c r="D24">
        <v>3</v>
      </c>
      <c r="E24" t="s">
        <v>1447</v>
      </c>
      <c r="F24" t="s">
        <v>1757</v>
      </c>
      <c r="G24" t="s">
        <v>1741</v>
      </c>
      <c r="H24" t="s">
        <v>2295</v>
      </c>
      <c r="I24" t="s">
        <v>2279</v>
      </c>
      <c r="J24" t="s">
        <v>2279</v>
      </c>
      <c r="K24" t="s">
        <v>2279</v>
      </c>
      <c r="L24" t="s">
        <v>2279</v>
      </c>
      <c r="M24" t="s">
        <v>2279</v>
      </c>
      <c r="N24" t="s">
        <v>2279</v>
      </c>
      <c r="O24" s="190" t="str">
        <f t="shared" si="0"/>
        <v>[S02_CompetentAuthority][3][CAWebsite]</v>
      </c>
    </row>
    <row r="25" spans="1:15" x14ac:dyDescent="0.3">
      <c r="A25" t="s">
        <v>2277</v>
      </c>
      <c r="B25" t="s">
        <v>1749</v>
      </c>
      <c r="C25" t="s">
        <v>1750</v>
      </c>
      <c r="D25">
        <v>4</v>
      </c>
      <c r="E25" t="s">
        <v>1447</v>
      </c>
      <c r="F25" t="s">
        <v>1757</v>
      </c>
      <c r="G25" t="s">
        <v>1741</v>
      </c>
      <c r="H25" t="s">
        <v>2297</v>
      </c>
      <c r="I25" t="s">
        <v>2279</v>
      </c>
      <c r="J25" t="s">
        <v>2279</v>
      </c>
      <c r="K25" t="s">
        <v>2279</v>
      </c>
      <c r="L25" t="s">
        <v>2279</v>
      </c>
      <c r="M25" t="s">
        <v>2279</v>
      </c>
      <c r="N25" t="s">
        <v>2279</v>
      </c>
      <c r="O25" s="190" t="str">
        <f t="shared" si="0"/>
        <v>[S02_CompetentAuthority][4][CAWebsite]</v>
      </c>
    </row>
    <row r="26" spans="1:15" x14ac:dyDescent="0.3">
      <c r="A26" t="s">
        <v>2277</v>
      </c>
      <c r="B26" t="s">
        <v>1749</v>
      </c>
      <c r="C26" t="s">
        <v>1758</v>
      </c>
      <c r="D26">
        <v>0</v>
      </c>
      <c r="E26" t="s">
        <v>1447</v>
      </c>
      <c r="F26" t="s">
        <v>1758</v>
      </c>
      <c r="G26" t="s">
        <v>1759</v>
      </c>
      <c r="H26" t="s">
        <v>2279</v>
      </c>
      <c r="I26" t="s">
        <v>2279</v>
      </c>
      <c r="J26" t="s">
        <v>2279</v>
      </c>
      <c r="K26" t="s">
        <v>2279</v>
      </c>
      <c r="L26" t="s">
        <v>1419</v>
      </c>
      <c r="M26" t="s">
        <v>2279</v>
      </c>
      <c r="N26" t="s">
        <v>2279</v>
      </c>
      <c r="O26" s="190" t="str">
        <f t="shared" si="0"/>
        <v>[S02_AccreditationBodyYesNo][0][S02_AccreditationBodyYesNo]</v>
      </c>
    </row>
    <row r="27" spans="1:15" x14ac:dyDescent="0.3">
      <c r="A27" t="s">
        <v>2277</v>
      </c>
      <c r="B27" t="s">
        <v>1749</v>
      </c>
      <c r="C27" t="s">
        <v>1760</v>
      </c>
      <c r="D27">
        <v>1</v>
      </c>
      <c r="E27" t="s">
        <v>1447</v>
      </c>
      <c r="F27" t="s">
        <v>1761</v>
      </c>
      <c r="G27" t="s">
        <v>1741</v>
      </c>
      <c r="H27" t="s">
        <v>2298</v>
      </c>
      <c r="I27" t="s">
        <v>2279</v>
      </c>
      <c r="J27" t="s">
        <v>2279</v>
      </c>
      <c r="K27" t="s">
        <v>2279</v>
      </c>
      <c r="L27" t="s">
        <v>2279</v>
      </c>
      <c r="M27" t="s">
        <v>2279</v>
      </c>
      <c r="N27" t="s">
        <v>2279</v>
      </c>
      <c r="O27" s="190" t="str">
        <f t="shared" si="0"/>
        <v>[S02_AccreditationBody][1][AccBodyName]</v>
      </c>
    </row>
    <row r="28" spans="1:15" x14ac:dyDescent="0.3">
      <c r="A28" t="s">
        <v>2277</v>
      </c>
      <c r="B28" t="s">
        <v>1749</v>
      </c>
      <c r="C28" t="s">
        <v>1760</v>
      </c>
      <c r="D28">
        <v>1</v>
      </c>
      <c r="E28" t="s">
        <v>1447</v>
      </c>
      <c r="F28" t="s">
        <v>1762</v>
      </c>
      <c r="G28" t="s">
        <v>1741</v>
      </c>
      <c r="H28" t="s">
        <v>2299</v>
      </c>
      <c r="I28" t="s">
        <v>2279</v>
      </c>
      <c r="J28" t="s">
        <v>2279</v>
      </c>
      <c r="K28" t="s">
        <v>2279</v>
      </c>
      <c r="L28" t="s">
        <v>2279</v>
      </c>
      <c r="M28" t="s">
        <v>2279</v>
      </c>
      <c r="N28" t="s">
        <v>2279</v>
      </c>
      <c r="O28" s="190" t="str">
        <f t="shared" si="0"/>
        <v>[S02_AccreditationBody][1][AccBodyAbbreviation]</v>
      </c>
    </row>
    <row r="29" spans="1:15" x14ac:dyDescent="0.3">
      <c r="A29" t="s">
        <v>2277</v>
      </c>
      <c r="B29" t="s">
        <v>1749</v>
      </c>
      <c r="C29" t="s">
        <v>1760</v>
      </c>
      <c r="D29">
        <v>1</v>
      </c>
      <c r="E29" t="s">
        <v>1447</v>
      </c>
      <c r="F29" t="s">
        <v>1763</v>
      </c>
      <c r="G29" t="s">
        <v>1741</v>
      </c>
      <c r="H29" t="s">
        <v>2300</v>
      </c>
      <c r="I29" t="s">
        <v>2279</v>
      </c>
      <c r="J29" t="s">
        <v>2279</v>
      </c>
      <c r="K29" t="s">
        <v>2279</v>
      </c>
      <c r="L29" t="s">
        <v>2279</v>
      </c>
      <c r="M29" t="s">
        <v>2279</v>
      </c>
      <c r="N29" t="s">
        <v>2279</v>
      </c>
      <c r="O29" s="190" t="str">
        <f t="shared" si="0"/>
        <v>[S02_AccreditationBody][1][AccBodyTelephone]</v>
      </c>
    </row>
    <row r="30" spans="1:15" x14ac:dyDescent="0.3">
      <c r="A30" t="s">
        <v>2277</v>
      </c>
      <c r="B30" t="s">
        <v>1749</v>
      </c>
      <c r="C30" t="s">
        <v>1760</v>
      </c>
      <c r="D30">
        <v>1</v>
      </c>
      <c r="E30" t="s">
        <v>1447</v>
      </c>
      <c r="F30" t="s">
        <v>1764</v>
      </c>
      <c r="G30" t="s">
        <v>1741</v>
      </c>
      <c r="H30" t="s">
        <v>2301</v>
      </c>
      <c r="I30" t="s">
        <v>2279</v>
      </c>
      <c r="J30" t="s">
        <v>2279</v>
      </c>
      <c r="K30" t="s">
        <v>2279</v>
      </c>
      <c r="L30" t="s">
        <v>2279</v>
      </c>
      <c r="M30" t="s">
        <v>2279</v>
      </c>
      <c r="N30" t="s">
        <v>2279</v>
      </c>
      <c r="O30" s="190" t="str">
        <f t="shared" si="0"/>
        <v>[S02_AccreditationBody][1][AccBodyEmail]</v>
      </c>
    </row>
    <row r="31" spans="1:15" x14ac:dyDescent="0.3">
      <c r="A31" t="s">
        <v>2277</v>
      </c>
      <c r="B31" t="s">
        <v>1749</v>
      </c>
      <c r="C31" t="s">
        <v>1760</v>
      </c>
      <c r="D31">
        <v>1</v>
      </c>
      <c r="E31" t="s">
        <v>1447</v>
      </c>
      <c r="F31" t="s">
        <v>1765</v>
      </c>
      <c r="G31" t="s">
        <v>1741</v>
      </c>
      <c r="H31" t="s">
        <v>2302</v>
      </c>
      <c r="I31" t="s">
        <v>2279</v>
      </c>
      <c r="J31" t="s">
        <v>2279</v>
      </c>
      <c r="K31" t="s">
        <v>2279</v>
      </c>
      <c r="L31" t="s">
        <v>2279</v>
      </c>
      <c r="M31" t="s">
        <v>2279</v>
      </c>
      <c r="N31" t="s">
        <v>2279</v>
      </c>
      <c r="O31" s="190" t="str">
        <f t="shared" si="0"/>
        <v>[S02_AccreditationBody][1][AccBodyWebsite]</v>
      </c>
    </row>
    <row r="32" spans="1:15" x14ac:dyDescent="0.3">
      <c r="A32" t="s">
        <v>2277</v>
      </c>
      <c r="B32" t="s">
        <v>1749</v>
      </c>
      <c r="C32" t="s">
        <v>1773</v>
      </c>
      <c r="D32">
        <v>1</v>
      </c>
      <c r="E32" t="s">
        <v>1447</v>
      </c>
      <c r="F32" t="s">
        <v>1774</v>
      </c>
      <c r="G32" t="s">
        <v>1741</v>
      </c>
      <c r="H32" t="s">
        <v>2280</v>
      </c>
      <c r="I32" t="s">
        <v>2279</v>
      </c>
      <c r="J32" t="s">
        <v>2279</v>
      </c>
      <c r="K32" t="s">
        <v>2279</v>
      </c>
      <c r="L32" t="s">
        <v>2279</v>
      </c>
      <c r="M32" t="s">
        <v>2279</v>
      </c>
      <c r="N32" t="s">
        <v>2279</v>
      </c>
      <c r="O32" s="190" t="str">
        <f t="shared" si="0"/>
        <v>[S02_RegistryAdministrator][1][RegAdminName]</v>
      </c>
    </row>
    <row r="33" spans="1:15" x14ac:dyDescent="0.3">
      <c r="A33" t="s">
        <v>2277</v>
      </c>
      <c r="B33" t="s">
        <v>1749</v>
      </c>
      <c r="C33" t="s">
        <v>1773</v>
      </c>
      <c r="D33">
        <v>1</v>
      </c>
      <c r="E33" t="s">
        <v>1447</v>
      </c>
      <c r="F33" t="s">
        <v>1775</v>
      </c>
      <c r="G33" t="s">
        <v>1741</v>
      </c>
      <c r="H33" t="s">
        <v>2284</v>
      </c>
      <c r="I33" t="s">
        <v>2279</v>
      </c>
      <c r="J33" t="s">
        <v>2279</v>
      </c>
      <c r="K33" t="s">
        <v>2279</v>
      </c>
      <c r="L33" t="s">
        <v>2279</v>
      </c>
      <c r="M33" t="s">
        <v>2279</v>
      </c>
      <c r="N33" t="s">
        <v>2279</v>
      </c>
      <c r="O33" s="190" t="str">
        <f t="shared" si="0"/>
        <v>[S02_RegistryAdministrator][1][RegAdminAbbreviation]</v>
      </c>
    </row>
    <row r="34" spans="1:15" x14ac:dyDescent="0.3">
      <c r="A34" t="s">
        <v>2277</v>
      </c>
      <c r="B34" t="s">
        <v>1749</v>
      </c>
      <c r="C34" t="s">
        <v>1773</v>
      </c>
      <c r="D34">
        <v>1</v>
      </c>
      <c r="E34" t="s">
        <v>1447</v>
      </c>
      <c r="F34" t="s">
        <v>1776</v>
      </c>
      <c r="G34" t="s">
        <v>1741</v>
      </c>
      <c r="H34" t="s">
        <v>2303</v>
      </c>
      <c r="I34" t="s">
        <v>2279</v>
      </c>
      <c r="J34" t="s">
        <v>2279</v>
      </c>
      <c r="K34" t="s">
        <v>2279</v>
      </c>
      <c r="L34" t="s">
        <v>2279</v>
      </c>
      <c r="M34" t="s">
        <v>2279</v>
      </c>
      <c r="N34" t="s">
        <v>2279</v>
      </c>
      <c r="O34" s="190" t="str">
        <f t="shared" si="0"/>
        <v>[S02_RegistryAdministrator][1][RegAdminTelephone]</v>
      </c>
    </row>
    <row r="35" spans="1:15" x14ac:dyDescent="0.3">
      <c r="A35" t="s">
        <v>2277</v>
      </c>
      <c r="B35" t="s">
        <v>1749</v>
      </c>
      <c r="C35" t="s">
        <v>1773</v>
      </c>
      <c r="D35">
        <v>1</v>
      </c>
      <c r="E35" t="s">
        <v>1447</v>
      </c>
      <c r="F35" t="s">
        <v>1777</v>
      </c>
      <c r="G35" t="s">
        <v>1741</v>
      </c>
      <c r="H35" t="s">
        <v>2292</v>
      </c>
      <c r="I35" t="s">
        <v>2279</v>
      </c>
      <c r="J35" t="s">
        <v>2279</v>
      </c>
      <c r="K35" t="s">
        <v>2279</v>
      </c>
      <c r="L35" t="s">
        <v>2279</v>
      </c>
      <c r="M35" t="s">
        <v>2279</v>
      </c>
      <c r="N35" t="s">
        <v>2279</v>
      </c>
      <c r="O35" s="190" t="str">
        <f t="shared" si="0"/>
        <v>[S02_RegistryAdministrator][1][RegAdminEmail]</v>
      </c>
    </row>
    <row r="36" spans="1:15" x14ac:dyDescent="0.3">
      <c r="A36" t="s">
        <v>2277</v>
      </c>
      <c r="B36" t="s">
        <v>1749</v>
      </c>
      <c r="C36" t="s">
        <v>1773</v>
      </c>
      <c r="D36">
        <v>1</v>
      </c>
      <c r="E36" t="s">
        <v>1447</v>
      </c>
      <c r="F36" t="s">
        <v>1778</v>
      </c>
      <c r="G36" t="s">
        <v>1741</v>
      </c>
      <c r="H36" t="s">
        <v>2296</v>
      </c>
      <c r="I36" t="s">
        <v>2279</v>
      </c>
      <c r="J36" t="s">
        <v>2279</v>
      </c>
      <c r="K36" t="s">
        <v>2279</v>
      </c>
      <c r="L36" t="s">
        <v>2279</v>
      </c>
      <c r="M36" t="s">
        <v>2279</v>
      </c>
      <c r="N36" t="s">
        <v>2279</v>
      </c>
      <c r="O36" s="190" t="str">
        <f t="shared" si="0"/>
        <v>[S02_RegistryAdministrator][1][RegAdminWebsite]</v>
      </c>
    </row>
    <row r="37" spans="1:15" x14ac:dyDescent="0.3">
      <c r="A37" t="s">
        <v>2277</v>
      </c>
      <c r="B37" t="s">
        <v>1779</v>
      </c>
      <c r="C37" t="s">
        <v>1780</v>
      </c>
      <c r="D37">
        <v>1</v>
      </c>
      <c r="E37" t="s">
        <v>1447</v>
      </c>
      <c r="F37" t="s">
        <v>1781</v>
      </c>
      <c r="G37" t="s">
        <v>1741</v>
      </c>
      <c r="H37" t="s">
        <v>2284</v>
      </c>
      <c r="I37" t="s">
        <v>2279</v>
      </c>
      <c r="J37" t="s">
        <v>2279</v>
      </c>
      <c r="K37" t="s">
        <v>2279</v>
      </c>
      <c r="L37" t="s">
        <v>2279</v>
      </c>
      <c r="M37" t="s">
        <v>2279</v>
      </c>
      <c r="N37" t="s">
        <v>2279</v>
      </c>
      <c r="O37" s="190" t="str">
        <f t="shared" si="0"/>
        <v>[S02_CompetentAuthorityRoles][1][CAForInstallationTask]</v>
      </c>
    </row>
    <row r="38" spans="1:15" x14ac:dyDescent="0.3">
      <c r="A38" t="s">
        <v>2277</v>
      </c>
      <c r="B38" t="s">
        <v>1779</v>
      </c>
      <c r="C38" t="s">
        <v>1780</v>
      </c>
      <c r="D38">
        <v>2</v>
      </c>
      <c r="E38" t="s">
        <v>1447</v>
      </c>
      <c r="F38" t="s">
        <v>1781</v>
      </c>
      <c r="G38" t="s">
        <v>1741</v>
      </c>
      <c r="H38" t="s">
        <v>2284</v>
      </c>
      <c r="I38" t="s">
        <v>2279</v>
      </c>
      <c r="J38" t="s">
        <v>2279</v>
      </c>
      <c r="K38" t="s">
        <v>2279</v>
      </c>
      <c r="L38" t="s">
        <v>2279</v>
      </c>
      <c r="M38" t="s">
        <v>2279</v>
      </c>
      <c r="N38" t="s">
        <v>2279</v>
      </c>
      <c r="O38" s="190" t="str">
        <f t="shared" si="0"/>
        <v>[S02_CompetentAuthorityRoles][2][CAForInstallationTask]</v>
      </c>
    </row>
    <row r="39" spans="1:15" x14ac:dyDescent="0.3">
      <c r="A39" t="s">
        <v>2277</v>
      </c>
      <c r="B39" t="s">
        <v>1779</v>
      </c>
      <c r="C39" t="s">
        <v>1780</v>
      </c>
      <c r="D39">
        <v>3</v>
      </c>
      <c r="E39" t="s">
        <v>1447</v>
      </c>
      <c r="F39" t="s">
        <v>1781</v>
      </c>
      <c r="G39" t="s">
        <v>1741</v>
      </c>
      <c r="H39" t="s">
        <v>2304</v>
      </c>
      <c r="I39" t="s">
        <v>2279</v>
      </c>
      <c r="J39" t="s">
        <v>2279</v>
      </c>
      <c r="K39" t="s">
        <v>2279</v>
      </c>
      <c r="L39" t="s">
        <v>2279</v>
      </c>
      <c r="M39" t="s">
        <v>2279</v>
      </c>
      <c r="N39" t="s">
        <v>2279</v>
      </c>
      <c r="O39" s="190" t="str">
        <f t="shared" si="0"/>
        <v>[S02_CompetentAuthorityRoles][3][CAForInstallationTask]</v>
      </c>
    </row>
    <row r="40" spans="1:15" x14ac:dyDescent="0.3">
      <c r="A40" t="s">
        <v>2277</v>
      </c>
      <c r="B40" t="s">
        <v>1779</v>
      </c>
      <c r="C40" t="s">
        <v>1780</v>
      </c>
      <c r="D40">
        <v>4</v>
      </c>
      <c r="E40" t="s">
        <v>1447</v>
      </c>
      <c r="F40" t="s">
        <v>1781</v>
      </c>
      <c r="G40" t="s">
        <v>1741</v>
      </c>
      <c r="H40" t="s">
        <v>2283</v>
      </c>
      <c r="I40" t="s">
        <v>2279</v>
      </c>
      <c r="J40" t="s">
        <v>2279</v>
      </c>
      <c r="K40" t="s">
        <v>2279</v>
      </c>
      <c r="L40" t="s">
        <v>2279</v>
      </c>
      <c r="M40" t="s">
        <v>2279</v>
      </c>
      <c r="N40" t="s">
        <v>2279</v>
      </c>
      <c r="O40" s="190" t="str">
        <f t="shared" si="0"/>
        <v>[S02_CompetentAuthorityRoles][4][CAForInstallationTask]</v>
      </c>
    </row>
    <row r="41" spans="1:15" x14ac:dyDescent="0.3">
      <c r="A41" t="s">
        <v>2277</v>
      </c>
      <c r="B41" t="s">
        <v>1779</v>
      </c>
      <c r="C41" t="s">
        <v>1780</v>
      </c>
      <c r="D41">
        <v>6</v>
      </c>
      <c r="E41" t="s">
        <v>1447</v>
      </c>
      <c r="F41" t="s">
        <v>1781</v>
      </c>
      <c r="G41" t="s">
        <v>1741</v>
      </c>
      <c r="H41" t="s">
        <v>2305</v>
      </c>
      <c r="I41" t="s">
        <v>2279</v>
      </c>
      <c r="J41" t="s">
        <v>2279</v>
      </c>
      <c r="K41" t="s">
        <v>2279</v>
      </c>
      <c r="L41" t="s">
        <v>2279</v>
      </c>
      <c r="M41" t="s">
        <v>2279</v>
      </c>
      <c r="N41" t="s">
        <v>2279</v>
      </c>
      <c r="O41" s="190" t="str">
        <f t="shared" si="0"/>
        <v>[S02_CompetentAuthorityRoles][6][CAForInstallationTask]</v>
      </c>
    </row>
    <row r="42" spans="1:15" x14ac:dyDescent="0.3">
      <c r="A42" t="s">
        <v>2277</v>
      </c>
      <c r="B42" t="s">
        <v>1779</v>
      </c>
      <c r="C42" t="s">
        <v>1780</v>
      </c>
      <c r="D42">
        <v>7</v>
      </c>
      <c r="E42" t="s">
        <v>1447</v>
      </c>
      <c r="F42" t="s">
        <v>1781</v>
      </c>
      <c r="G42" t="s">
        <v>1741</v>
      </c>
      <c r="H42" t="s">
        <v>2306</v>
      </c>
      <c r="I42" t="s">
        <v>2279</v>
      </c>
      <c r="J42" t="s">
        <v>2279</v>
      </c>
      <c r="K42" t="s">
        <v>2279</v>
      </c>
      <c r="L42" t="s">
        <v>2279</v>
      </c>
      <c r="M42" t="s">
        <v>2279</v>
      </c>
      <c r="N42" t="s">
        <v>2279</v>
      </c>
      <c r="O42" s="190" t="str">
        <f t="shared" si="0"/>
        <v>[S02_CompetentAuthorityRoles][7][CAForInstallationTask]</v>
      </c>
    </row>
    <row r="43" spans="1:15" x14ac:dyDescent="0.3">
      <c r="A43" t="s">
        <v>2277</v>
      </c>
      <c r="B43" t="s">
        <v>1779</v>
      </c>
      <c r="C43" t="s">
        <v>1780</v>
      </c>
      <c r="D43">
        <v>8</v>
      </c>
      <c r="E43" t="s">
        <v>1447</v>
      </c>
      <c r="F43" t="s">
        <v>1781</v>
      </c>
      <c r="G43" t="s">
        <v>1741</v>
      </c>
      <c r="H43" t="s">
        <v>2284</v>
      </c>
      <c r="I43" t="s">
        <v>2279</v>
      </c>
      <c r="J43" t="s">
        <v>2279</v>
      </c>
      <c r="K43" t="s">
        <v>2279</v>
      </c>
      <c r="L43" t="s">
        <v>2279</v>
      </c>
      <c r="M43" t="s">
        <v>2279</v>
      </c>
      <c r="N43" t="s">
        <v>2279</v>
      </c>
      <c r="O43" s="190" t="str">
        <f t="shared" si="0"/>
        <v>[S02_CompetentAuthorityRoles][8][CAForInstallationTask]</v>
      </c>
    </row>
    <row r="44" spans="1:15" x14ac:dyDescent="0.3">
      <c r="A44" t="s">
        <v>2277</v>
      </c>
      <c r="B44" t="s">
        <v>1779</v>
      </c>
      <c r="C44" t="s">
        <v>1780</v>
      </c>
      <c r="D44">
        <v>9</v>
      </c>
      <c r="E44" t="s">
        <v>1447</v>
      </c>
      <c r="F44" t="s">
        <v>1781</v>
      </c>
      <c r="G44" t="s">
        <v>1741</v>
      </c>
      <c r="H44" t="s">
        <v>2284</v>
      </c>
      <c r="I44" t="s">
        <v>2279</v>
      </c>
      <c r="J44" t="s">
        <v>2279</v>
      </c>
      <c r="K44" t="s">
        <v>2279</v>
      </c>
      <c r="L44" t="s">
        <v>2279</v>
      </c>
      <c r="M44" t="s">
        <v>2279</v>
      </c>
      <c r="N44" t="s">
        <v>2279</v>
      </c>
      <c r="O44" s="190" t="str">
        <f t="shared" si="0"/>
        <v>[S02_CompetentAuthorityRoles][9][CAForInstallationTask]</v>
      </c>
    </row>
    <row r="45" spans="1:15" x14ac:dyDescent="0.3">
      <c r="A45" t="s">
        <v>2277</v>
      </c>
      <c r="B45" t="s">
        <v>1779</v>
      </c>
      <c r="C45" t="s">
        <v>1780</v>
      </c>
      <c r="D45">
        <v>10</v>
      </c>
      <c r="E45" t="s">
        <v>1447</v>
      </c>
      <c r="F45" t="s">
        <v>1781</v>
      </c>
      <c r="G45" t="s">
        <v>1741</v>
      </c>
      <c r="H45" t="s">
        <v>2307</v>
      </c>
      <c r="I45" t="s">
        <v>2279</v>
      </c>
      <c r="J45" t="s">
        <v>2279</v>
      </c>
      <c r="K45" t="s">
        <v>2279</v>
      </c>
      <c r="L45" t="s">
        <v>2279</v>
      </c>
      <c r="M45" t="s">
        <v>2279</v>
      </c>
      <c r="N45" t="s">
        <v>2279</v>
      </c>
      <c r="O45" s="190" t="str">
        <f t="shared" si="0"/>
        <v>[S02_CompetentAuthorityRoles][10][CAForInstallationTask]</v>
      </c>
    </row>
    <row r="46" spans="1:15" x14ac:dyDescent="0.3">
      <c r="A46" t="s">
        <v>2277</v>
      </c>
      <c r="B46" t="s">
        <v>1779</v>
      </c>
      <c r="C46" t="s">
        <v>1780</v>
      </c>
      <c r="D46">
        <v>11</v>
      </c>
      <c r="E46" t="s">
        <v>1447</v>
      </c>
      <c r="F46" t="s">
        <v>1781</v>
      </c>
      <c r="G46" t="s">
        <v>1741</v>
      </c>
      <c r="H46" t="s">
        <v>2308</v>
      </c>
      <c r="I46" t="s">
        <v>2279</v>
      </c>
      <c r="J46" t="s">
        <v>2279</v>
      </c>
      <c r="K46" t="s">
        <v>2279</v>
      </c>
      <c r="L46" t="s">
        <v>2279</v>
      </c>
      <c r="M46" t="s">
        <v>2279</v>
      </c>
      <c r="N46" t="s">
        <v>2279</v>
      </c>
      <c r="O46" s="190" t="str">
        <f t="shared" si="0"/>
        <v>[S02_CompetentAuthorityRoles][11][CAForInstallationTask]</v>
      </c>
    </row>
    <row r="47" spans="1:15" x14ac:dyDescent="0.3">
      <c r="A47" t="s">
        <v>2277</v>
      </c>
      <c r="B47" t="s">
        <v>1779</v>
      </c>
      <c r="C47" t="s">
        <v>1780</v>
      </c>
      <c r="D47">
        <v>5</v>
      </c>
      <c r="E47" t="s">
        <v>1447</v>
      </c>
      <c r="F47" t="s">
        <v>1782</v>
      </c>
      <c r="G47" t="s">
        <v>1741</v>
      </c>
      <c r="H47" t="s">
        <v>2283</v>
      </c>
      <c r="I47" t="s">
        <v>2279</v>
      </c>
      <c r="J47" t="s">
        <v>2279</v>
      </c>
      <c r="K47" t="s">
        <v>2279</v>
      </c>
      <c r="L47" t="s">
        <v>2279</v>
      </c>
      <c r="M47" t="s">
        <v>2279</v>
      </c>
      <c r="N47" t="s">
        <v>2279</v>
      </c>
      <c r="O47" s="190" t="str">
        <f t="shared" si="0"/>
        <v>[S02_CompetentAuthorityRoles][5][CAForAviationTask]</v>
      </c>
    </row>
    <row r="48" spans="1:15" x14ac:dyDescent="0.3">
      <c r="A48" t="s">
        <v>2277</v>
      </c>
      <c r="B48" t="s">
        <v>1779</v>
      </c>
      <c r="C48" t="s">
        <v>1780</v>
      </c>
      <c r="D48">
        <v>6</v>
      </c>
      <c r="E48" t="s">
        <v>1447</v>
      </c>
      <c r="F48" t="s">
        <v>1782</v>
      </c>
      <c r="G48" t="s">
        <v>1741</v>
      </c>
      <c r="H48" t="s">
        <v>2305</v>
      </c>
      <c r="I48" t="s">
        <v>2279</v>
      </c>
      <c r="J48" t="s">
        <v>2279</v>
      </c>
      <c r="K48" t="s">
        <v>2279</v>
      </c>
      <c r="L48" t="s">
        <v>2279</v>
      </c>
      <c r="M48" t="s">
        <v>2279</v>
      </c>
      <c r="N48" t="s">
        <v>2279</v>
      </c>
      <c r="O48" s="190" t="str">
        <f t="shared" si="0"/>
        <v>[S02_CompetentAuthorityRoles][6][CAForAviationTask]</v>
      </c>
    </row>
    <row r="49" spans="1:15" x14ac:dyDescent="0.3">
      <c r="A49" t="s">
        <v>2277</v>
      </c>
      <c r="B49" t="s">
        <v>1779</v>
      </c>
      <c r="C49" t="s">
        <v>1780</v>
      </c>
      <c r="D49">
        <v>7</v>
      </c>
      <c r="E49" t="s">
        <v>1447</v>
      </c>
      <c r="F49" t="s">
        <v>1782</v>
      </c>
      <c r="G49" t="s">
        <v>1741</v>
      </c>
      <c r="H49" t="s">
        <v>2306</v>
      </c>
      <c r="I49" t="s">
        <v>2279</v>
      </c>
      <c r="J49" t="s">
        <v>2279</v>
      </c>
      <c r="K49" t="s">
        <v>2279</v>
      </c>
      <c r="L49" t="s">
        <v>2279</v>
      </c>
      <c r="M49" t="s">
        <v>2279</v>
      </c>
      <c r="N49" t="s">
        <v>2279</v>
      </c>
      <c r="O49" s="190" t="str">
        <f t="shared" si="0"/>
        <v>[S02_CompetentAuthorityRoles][7][CAForAviationTask]</v>
      </c>
    </row>
    <row r="50" spans="1:15" x14ac:dyDescent="0.3">
      <c r="A50" t="s">
        <v>2277</v>
      </c>
      <c r="B50" t="s">
        <v>1779</v>
      </c>
      <c r="C50" t="s">
        <v>1780</v>
      </c>
      <c r="D50">
        <v>8</v>
      </c>
      <c r="E50" t="s">
        <v>1447</v>
      </c>
      <c r="F50" t="s">
        <v>1782</v>
      </c>
      <c r="G50" t="s">
        <v>1741</v>
      </c>
      <c r="H50" t="s">
        <v>2284</v>
      </c>
      <c r="I50" t="s">
        <v>2279</v>
      </c>
      <c r="J50" t="s">
        <v>2279</v>
      </c>
      <c r="K50" t="s">
        <v>2279</v>
      </c>
      <c r="L50" t="s">
        <v>2279</v>
      </c>
      <c r="M50" t="s">
        <v>2279</v>
      </c>
      <c r="N50" t="s">
        <v>2279</v>
      </c>
      <c r="O50" s="190" t="str">
        <f t="shared" si="0"/>
        <v>[S02_CompetentAuthorityRoles][8][CAForAviationTask]</v>
      </c>
    </row>
    <row r="51" spans="1:15" x14ac:dyDescent="0.3">
      <c r="A51" t="s">
        <v>2277</v>
      </c>
      <c r="B51" t="s">
        <v>1779</v>
      </c>
      <c r="C51" t="s">
        <v>1780</v>
      </c>
      <c r="D51">
        <v>9</v>
      </c>
      <c r="E51" t="s">
        <v>1447</v>
      </c>
      <c r="F51" t="s">
        <v>1782</v>
      </c>
      <c r="G51" t="s">
        <v>1741</v>
      </c>
      <c r="H51" t="s">
        <v>2284</v>
      </c>
      <c r="I51" t="s">
        <v>2279</v>
      </c>
      <c r="J51" t="s">
        <v>2279</v>
      </c>
      <c r="K51" t="s">
        <v>2279</v>
      </c>
      <c r="L51" t="s">
        <v>2279</v>
      </c>
      <c r="M51" t="s">
        <v>2279</v>
      </c>
      <c r="N51" t="s">
        <v>2279</v>
      </c>
      <c r="O51" s="190" t="str">
        <f t="shared" si="0"/>
        <v>[S02_CompetentAuthorityRoles][9][CAForAviationTask]</v>
      </c>
    </row>
    <row r="52" spans="1:15" x14ac:dyDescent="0.3">
      <c r="A52" t="s">
        <v>2277</v>
      </c>
      <c r="B52" t="s">
        <v>1779</v>
      </c>
      <c r="C52" t="s">
        <v>1780</v>
      </c>
      <c r="D52">
        <v>10</v>
      </c>
      <c r="E52" t="s">
        <v>1447</v>
      </c>
      <c r="F52" t="s">
        <v>1782</v>
      </c>
      <c r="G52" t="s">
        <v>1741</v>
      </c>
      <c r="H52" t="s">
        <v>2307</v>
      </c>
      <c r="I52" t="s">
        <v>2279</v>
      </c>
      <c r="J52" t="s">
        <v>2279</v>
      </c>
      <c r="K52" t="s">
        <v>2279</v>
      </c>
      <c r="L52" t="s">
        <v>2279</v>
      </c>
      <c r="M52" t="s">
        <v>2279</v>
      </c>
      <c r="N52" t="s">
        <v>2279</v>
      </c>
      <c r="O52" s="190" t="str">
        <f t="shared" si="0"/>
        <v>[S02_CompetentAuthorityRoles][10][CAForAviationTask]</v>
      </c>
    </row>
    <row r="53" spans="1:15" x14ac:dyDescent="0.3">
      <c r="A53" t="s">
        <v>2277</v>
      </c>
      <c r="B53" t="s">
        <v>1779</v>
      </c>
      <c r="C53" t="s">
        <v>1780</v>
      </c>
      <c r="D53">
        <v>11</v>
      </c>
      <c r="E53" t="s">
        <v>1447</v>
      </c>
      <c r="F53" t="s">
        <v>1782</v>
      </c>
      <c r="G53" t="s">
        <v>1741</v>
      </c>
      <c r="H53" t="s">
        <v>2284</v>
      </c>
      <c r="I53" t="s">
        <v>2279</v>
      </c>
      <c r="J53" t="s">
        <v>2279</v>
      </c>
      <c r="K53" t="s">
        <v>2279</v>
      </c>
      <c r="L53" t="s">
        <v>2279</v>
      </c>
      <c r="M53" t="s">
        <v>2279</v>
      </c>
      <c r="N53" t="s">
        <v>2279</v>
      </c>
      <c r="O53" s="190" t="str">
        <f t="shared" si="0"/>
        <v>[S02_CompetentAuthorityRoles][11][CAForAviationTask]</v>
      </c>
    </row>
    <row r="54" spans="1:15" x14ac:dyDescent="0.3">
      <c r="A54" t="s">
        <v>2277</v>
      </c>
      <c r="B54" t="s">
        <v>1784</v>
      </c>
      <c r="C54" t="s">
        <v>1785</v>
      </c>
      <c r="D54">
        <v>0</v>
      </c>
      <c r="E54" t="s">
        <v>1447</v>
      </c>
      <c r="F54" t="s">
        <v>1786</v>
      </c>
      <c r="G54" t="s">
        <v>1741</v>
      </c>
      <c r="H54" t="s">
        <v>2278</v>
      </c>
      <c r="I54" t="s">
        <v>2279</v>
      </c>
      <c r="J54" t="s">
        <v>2279</v>
      </c>
      <c r="K54" t="s">
        <v>2279</v>
      </c>
      <c r="L54" t="s">
        <v>2279</v>
      </c>
      <c r="M54" t="s">
        <v>2279</v>
      </c>
      <c r="N54" t="s">
        <v>2279</v>
      </c>
      <c r="O54" s="190" t="str">
        <f t="shared" si="0"/>
        <v>[S02_CAFocalPoint][0][CAArt70]</v>
      </c>
    </row>
    <row r="55" spans="1:15" x14ac:dyDescent="0.3">
      <c r="A55" t="s">
        <v>2277</v>
      </c>
      <c r="B55" t="s">
        <v>1784</v>
      </c>
      <c r="C55" t="s">
        <v>1785</v>
      </c>
      <c r="D55">
        <v>0</v>
      </c>
      <c r="E55" t="s">
        <v>1447</v>
      </c>
      <c r="F55" t="s">
        <v>1787</v>
      </c>
      <c r="G55" t="s">
        <v>1741</v>
      </c>
      <c r="H55" t="s">
        <v>2283</v>
      </c>
      <c r="I55" t="s">
        <v>2279</v>
      </c>
      <c r="J55" t="s">
        <v>2279</v>
      </c>
      <c r="K55" t="s">
        <v>2279</v>
      </c>
      <c r="L55" t="s">
        <v>2279</v>
      </c>
      <c r="M55" t="s">
        <v>2279</v>
      </c>
      <c r="N55" t="s">
        <v>2279</v>
      </c>
      <c r="O55" s="190" t="str">
        <f t="shared" si="0"/>
        <v>[S02_CAFocalPoint][0][CAArt70Abbrev]</v>
      </c>
    </row>
    <row r="56" spans="1:15" x14ac:dyDescent="0.3">
      <c r="A56" t="s">
        <v>2277</v>
      </c>
      <c r="B56" t="s">
        <v>1784</v>
      </c>
      <c r="C56" t="s">
        <v>1788</v>
      </c>
      <c r="D56">
        <v>1</v>
      </c>
      <c r="E56" t="s">
        <v>1447</v>
      </c>
      <c r="F56" t="s">
        <v>1789</v>
      </c>
      <c r="G56" t="s">
        <v>1759</v>
      </c>
      <c r="H56" t="s">
        <v>2279</v>
      </c>
      <c r="I56" t="s">
        <v>2279</v>
      </c>
      <c r="J56" t="s">
        <v>2279</v>
      </c>
      <c r="K56" t="s">
        <v>2279</v>
      </c>
      <c r="L56" t="s">
        <v>1419</v>
      </c>
      <c r="M56" t="s">
        <v>2279</v>
      </c>
      <c r="N56" t="s">
        <v>2279</v>
      </c>
      <c r="O56" s="190" t="str">
        <f t="shared" si="0"/>
        <v>[S02_CompetentAuthorityCoordination][1][CACoordinationYesNo]</v>
      </c>
    </row>
    <row r="57" spans="1:15" x14ac:dyDescent="0.3">
      <c r="A57" t="s">
        <v>2277</v>
      </c>
      <c r="B57" t="s">
        <v>1784</v>
      </c>
      <c r="C57" t="s">
        <v>1788</v>
      </c>
      <c r="D57">
        <v>2</v>
      </c>
      <c r="E57" t="s">
        <v>1447</v>
      </c>
      <c r="F57" t="s">
        <v>1789</v>
      </c>
      <c r="G57" t="s">
        <v>1759</v>
      </c>
      <c r="H57" t="s">
        <v>2279</v>
      </c>
      <c r="I57" t="s">
        <v>2279</v>
      </c>
      <c r="J57" t="s">
        <v>2279</v>
      </c>
      <c r="K57" t="s">
        <v>2279</v>
      </c>
      <c r="L57" t="s">
        <v>1419</v>
      </c>
      <c r="M57" t="s">
        <v>2279</v>
      </c>
      <c r="N57" t="s">
        <v>2279</v>
      </c>
      <c r="O57" s="190" t="str">
        <f t="shared" si="0"/>
        <v>[S02_CompetentAuthorityCoordination][2][CACoordinationYesNo]</v>
      </c>
    </row>
    <row r="58" spans="1:15" x14ac:dyDescent="0.3">
      <c r="A58" t="s">
        <v>2277</v>
      </c>
      <c r="B58" t="s">
        <v>1784</v>
      </c>
      <c r="C58" t="s">
        <v>1788</v>
      </c>
      <c r="D58">
        <v>3</v>
      </c>
      <c r="E58" t="s">
        <v>1447</v>
      </c>
      <c r="F58" t="s">
        <v>1789</v>
      </c>
      <c r="G58" t="s">
        <v>1759</v>
      </c>
      <c r="H58" t="s">
        <v>2279</v>
      </c>
      <c r="I58" t="s">
        <v>2279</v>
      </c>
      <c r="J58" t="s">
        <v>2279</v>
      </c>
      <c r="K58" t="s">
        <v>2279</v>
      </c>
      <c r="L58" t="s">
        <v>1419</v>
      </c>
      <c r="M58" t="s">
        <v>2279</v>
      </c>
      <c r="N58" t="s">
        <v>2279</v>
      </c>
      <c r="O58" s="190" t="str">
        <f t="shared" si="0"/>
        <v>[S02_CompetentAuthorityCoordination][3][CACoordinationYesNo]</v>
      </c>
    </row>
    <row r="59" spans="1:15" x14ac:dyDescent="0.3">
      <c r="A59" t="s">
        <v>2277</v>
      </c>
      <c r="B59" t="s">
        <v>1784</v>
      </c>
      <c r="C59" t="s">
        <v>1788</v>
      </c>
      <c r="D59">
        <v>4</v>
      </c>
      <c r="E59" t="s">
        <v>1447</v>
      </c>
      <c r="F59" t="s">
        <v>1789</v>
      </c>
      <c r="G59" t="s">
        <v>1759</v>
      </c>
      <c r="H59" t="s">
        <v>2279</v>
      </c>
      <c r="I59" t="s">
        <v>2279</v>
      </c>
      <c r="J59" t="s">
        <v>2279</v>
      </c>
      <c r="K59" t="s">
        <v>2279</v>
      </c>
      <c r="L59" t="s">
        <v>1419</v>
      </c>
      <c r="M59" t="s">
        <v>2279</v>
      </c>
      <c r="N59" t="s">
        <v>2279</v>
      </c>
      <c r="O59" s="190" t="str">
        <f t="shared" si="0"/>
        <v>[S02_CompetentAuthorityCoordination][4][CACoordinationYesNo]</v>
      </c>
    </row>
    <row r="60" spans="1:15" x14ac:dyDescent="0.3">
      <c r="A60" t="s">
        <v>2277</v>
      </c>
      <c r="B60" t="s">
        <v>1784</v>
      </c>
      <c r="C60" t="s">
        <v>1788</v>
      </c>
      <c r="D60">
        <v>5</v>
      </c>
      <c r="E60" t="s">
        <v>1447</v>
      </c>
      <c r="F60" t="s">
        <v>1789</v>
      </c>
      <c r="G60" t="s">
        <v>1759</v>
      </c>
      <c r="H60" t="s">
        <v>2279</v>
      </c>
      <c r="I60" t="s">
        <v>2279</v>
      </c>
      <c r="J60" t="s">
        <v>2279</v>
      </c>
      <c r="K60" t="s">
        <v>2279</v>
      </c>
      <c r="L60" t="s">
        <v>1419</v>
      </c>
      <c r="M60" t="s">
        <v>2279</v>
      </c>
      <c r="N60" t="s">
        <v>2279</v>
      </c>
      <c r="O60" s="190" t="str">
        <f t="shared" si="0"/>
        <v>[S02_CompetentAuthorityCoordination][5][CACoordinationYesNo]</v>
      </c>
    </row>
    <row r="61" spans="1:15" x14ac:dyDescent="0.3">
      <c r="A61" t="s">
        <v>2277</v>
      </c>
      <c r="B61" t="s">
        <v>1784</v>
      </c>
      <c r="C61" t="s">
        <v>1788</v>
      </c>
      <c r="D61">
        <v>6</v>
      </c>
      <c r="E61" t="s">
        <v>1447</v>
      </c>
      <c r="F61" t="s">
        <v>1789</v>
      </c>
      <c r="G61" t="s">
        <v>1759</v>
      </c>
      <c r="H61" t="s">
        <v>2279</v>
      </c>
      <c r="I61" t="s">
        <v>2279</v>
      </c>
      <c r="J61" t="s">
        <v>2279</v>
      </c>
      <c r="K61" t="s">
        <v>2279</v>
      </c>
      <c r="L61" t="s">
        <v>1419</v>
      </c>
      <c r="M61" t="s">
        <v>2279</v>
      </c>
      <c r="N61" t="s">
        <v>2279</v>
      </c>
      <c r="O61" s="190" t="str">
        <f t="shared" si="0"/>
        <v>[S02_CompetentAuthorityCoordination][6][CACoordinationYesNo]</v>
      </c>
    </row>
    <row r="62" spans="1:15" x14ac:dyDescent="0.3">
      <c r="A62" t="s">
        <v>2277</v>
      </c>
      <c r="B62" t="s">
        <v>1792</v>
      </c>
      <c r="C62" t="s">
        <v>1793</v>
      </c>
      <c r="D62">
        <v>1</v>
      </c>
      <c r="E62" t="s">
        <v>1447</v>
      </c>
      <c r="F62" t="s">
        <v>1794</v>
      </c>
      <c r="G62" t="s">
        <v>1759</v>
      </c>
      <c r="H62" t="s">
        <v>2279</v>
      </c>
      <c r="I62" t="s">
        <v>2279</v>
      </c>
      <c r="J62" t="s">
        <v>2279</v>
      </c>
      <c r="K62" t="s">
        <v>2279</v>
      </c>
      <c r="L62" t="s">
        <v>1447</v>
      </c>
      <c r="M62" t="s">
        <v>2279</v>
      </c>
      <c r="N62" t="s">
        <v>2279</v>
      </c>
      <c r="O62" s="190" t="str">
        <f t="shared" si="0"/>
        <v>[S02_InformationExchangeAccBodyAndCA][1][InfoExchangeYesNo]</v>
      </c>
    </row>
    <row r="63" spans="1:15" x14ac:dyDescent="0.3">
      <c r="A63" t="s">
        <v>2277</v>
      </c>
      <c r="B63" t="s">
        <v>1792</v>
      </c>
      <c r="C63" t="s">
        <v>1793</v>
      </c>
      <c r="D63">
        <v>2</v>
      </c>
      <c r="E63" t="s">
        <v>1447</v>
      </c>
      <c r="F63" t="s">
        <v>1794</v>
      </c>
      <c r="G63" t="s">
        <v>1759</v>
      </c>
      <c r="H63" t="s">
        <v>2279</v>
      </c>
      <c r="I63" t="s">
        <v>2279</v>
      </c>
      <c r="J63" t="s">
        <v>2279</v>
      </c>
      <c r="K63" t="s">
        <v>2279</v>
      </c>
      <c r="L63" t="s">
        <v>1419</v>
      </c>
      <c r="M63" t="s">
        <v>2279</v>
      </c>
      <c r="N63" t="s">
        <v>2279</v>
      </c>
      <c r="O63" s="190" t="str">
        <f t="shared" si="0"/>
        <v>[S02_InformationExchangeAccBodyAndCA][2][InfoExchangeYesNo]</v>
      </c>
    </row>
    <row r="64" spans="1:15" x14ac:dyDescent="0.3">
      <c r="A64" t="s">
        <v>2277</v>
      </c>
      <c r="B64" t="s">
        <v>1792</v>
      </c>
      <c r="C64" t="s">
        <v>1793</v>
      </c>
      <c r="D64">
        <v>3</v>
      </c>
      <c r="E64" t="s">
        <v>1447</v>
      </c>
      <c r="F64" t="s">
        <v>1794</v>
      </c>
      <c r="G64" t="s">
        <v>1759</v>
      </c>
      <c r="H64" t="s">
        <v>2279</v>
      </c>
      <c r="I64" t="s">
        <v>2279</v>
      </c>
      <c r="J64" t="s">
        <v>2279</v>
      </c>
      <c r="K64" t="s">
        <v>2279</v>
      </c>
      <c r="L64" t="s">
        <v>1447</v>
      </c>
      <c r="M64" t="s">
        <v>2279</v>
      </c>
      <c r="N64" t="s">
        <v>2279</v>
      </c>
      <c r="O64" s="190" t="str">
        <f t="shared" si="0"/>
        <v>[S02_InformationExchangeAccBodyAndCA][3][InfoExchangeYesNo]</v>
      </c>
    </row>
    <row r="65" spans="1:15" x14ac:dyDescent="0.3">
      <c r="A65" t="s">
        <v>2277</v>
      </c>
      <c r="B65" t="s">
        <v>1792</v>
      </c>
      <c r="C65" t="s">
        <v>1793</v>
      </c>
      <c r="D65">
        <v>2</v>
      </c>
      <c r="E65" t="s">
        <v>1447</v>
      </c>
      <c r="F65" t="s">
        <v>1795</v>
      </c>
      <c r="G65" t="s">
        <v>1791</v>
      </c>
      <c r="H65" t="s">
        <v>2279</v>
      </c>
      <c r="I65" t="s">
        <v>2279</v>
      </c>
      <c r="J65" t="s">
        <v>2279</v>
      </c>
      <c r="K65" t="s">
        <v>2309</v>
      </c>
      <c r="L65" t="s">
        <v>2279</v>
      </c>
      <c r="M65" t="s">
        <v>2279</v>
      </c>
      <c r="N65" t="s">
        <v>2279</v>
      </c>
      <c r="O65" s="190" t="str">
        <f t="shared" si="0"/>
        <v>[S02_InformationExchangeAccBodyAndCA][2][InfoExchangeComment]</v>
      </c>
    </row>
    <row r="66" spans="1:15" x14ac:dyDescent="0.3">
      <c r="A66" t="s">
        <v>2277</v>
      </c>
      <c r="B66" t="s">
        <v>1796</v>
      </c>
      <c r="C66" t="s">
        <v>1797</v>
      </c>
      <c r="D66">
        <v>1</v>
      </c>
      <c r="E66" t="s">
        <v>1447</v>
      </c>
      <c r="F66" t="s">
        <v>1798</v>
      </c>
      <c r="G66" t="s">
        <v>1748</v>
      </c>
      <c r="H66" t="s">
        <v>2279</v>
      </c>
      <c r="I66">
        <v>109</v>
      </c>
      <c r="J66" t="s">
        <v>2279</v>
      </c>
      <c r="K66" t="s">
        <v>2279</v>
      </c>
      <c r="L66" t="s">
        <v>2279</v>
      </c>
      <c r="M66" t="s">
        <v>2279</v>
      </c>
      <c r="N66" t="s">
        <v>2279</v>
      </c>
      <c r="O66" s="190" t="str">
        <f t="shared" ref="O66:O129" si="1">"["&amp;$C66&amp;"]["&amp;$D66&amp;"]["&amp;$F66&amp;"]"</f>
        <v>[S03_EmittingInstallations][1][NumberOfInstallations]</v>
      </c>
    </row>
    <row r="67" spans="1:15" x14ac:dyDescent="0.3">
      <c r="A67" t="s">
        <v>2277</v>
      </c>
      <c r="B67" t="s">
        <v>1796</v>
      </c>
      <c r="C67" t="s">
        <v>1797</v>
      </c>
      <c r="D67">
        <v>2</v>
      </c>
      <c r="E67" t="s">
        <v>1447</v>
      </c>
      <c r="F67" t="s">
        <v>1798</v>
      </c>
      <c r="G67" t="s">
        <v>1748</v>
      </c>
      <c r="H67" t="s">
        <v>2279</v>
      </c>
      <c r="I67">
        <v>66</v>
      </c>
      <c r="J67" t="s">
        <v>2279</v>
      </c>
      <c r="K67" t="s">
        <v>2279</v>
      </c>
      <c r="L67" t="s">
        <v>2279</v>
      </c>
      <c r="M67" t="s">
        <v>2279</v>
      </c>
      <c r="N67" t="s">
        <v>2279</v>
      </c>
      <c r="O67" s="190" t="str">
        <f t="shared" si="1"/>
        <v>[S03_EmittingInstallations][2][NumberOfInstallations]</v>
      </c>
    </row>
    <row r="68" spans="1:15" x14ac:dyDescent="0.3">
      <c r="A68" t="s">
        <v>2277</v>
      </c>
      <c r="B68" t="s">
        <v>1796</v>
      </c>
      <c r="C68" t="s">
        <v>1797</v>
      </c>
      <c r="D68">
        <v>3</v>
      </c>
      <c r="E68" t="s">
        <v>1447</v>
      </c>
      <c r="F68" t="s">
        <v>1798</v>
      </c>
      <c r="G68" t="s">
        <v>1748</v>
      </c>
      <c r="H68" t="s">
        <v>2279</v>
      </c>
      <c r="I68">
        <v>28</v>
      </c>
      <c r="J68" t="s">
        <v>2279</v>
      </c>
      <c r="K68" t="s">
        <v>2279</v>
      </c>
      <c r="L68" t="s">
        <v>2279</v>
      </c>
      <c r="M68" t="s">
        <v>2279</v>
      </c>
      <c r="N68" t="s">
        <v>2279</v>
      </c>
      <c r="O68" s="190" t="str">
        <f t="shared" si="1"/>
        <v>[S03_EmittingInstallations][3][NumberOfInstallations]</v>
      </c>
    </row>
    <row r="69" spans="1:15" x14ac:dyDescent="0.3">
      <c r="A69" t="s">
        <v>2277</v>
      </c>
      <c r="B69" t="s">
        <v>1796</v>
      </c>
      <c r="C69" t="s">
        <v>1797</v>
      </c>
      <c r="D69">
        <v>4</v>
      </c>
      <c r="E69" t="s">
        <v>1447</v>
      </c>
      <c r="F69" t="s">
        <v>1798</v>
      </c>
      <c r="G69" t="s">
        <v>1748</v>
      </c>
      <c r="H69" t="s">
        <v>2279</v>
      </c>
      <c r="I69">
        <v>15</v>
      </c>
      <c r="J69" t="s">
        <v>2279</v>
      </c>
      <c r="K69" t="s">
        <v>2279</v>
      </c>
      <c r="L69" t="s">
        <v>2279</v>
      </c>
      <c r="M69" t="s">
        <v>2279</v>
      </c>
      <c r="N69" t="s">
        <v>2279</v>
      </c>
      <c r="O69" s="190" t="str">
        <f t="shared" si="1"/>
        <v>[S03_EmittingInstallations][4][NumberOfInstallations]</v>
      </c>
    </row>
    <row r="70" spans="1:15" x14ac:dyDescent="0.3">
      <c r="A70" t="s">
        <v>2277</v>
      </c>
      <c r="B70" t="s">
        <v>1796</v>
      </c>
      <c r="C70" t="s">
        <v>1797</v>
      </c>
      <c r="D70">
        <v>5</v>
      </c>
      <c r="E70" t="s">
        <v>1447</v>
      </c>
      <c r="F70" t="s">
        <v>1798</v>
      </c>
      <c r="G70" t="s">
        <v>1748</v>
      </c>
      <c r="H70" t="s">
        <v>2279</v>
      </c>
      <c r="I70">
        <v>54</v>
      </c>
      <c r="J70" t="s">
        <v>2279</v>
      </c>
      <c r="K70" t="s">
        <v>2279</v>
      </c>
      <c r="L70" t="s">
        <v>2279</v>
      </c>
      <c r="M70" t="s">
        <v>2279</v>
      </c>
      <c r="N70" t="s">
        <v>2279</v>
      </c>
      <c r="O70" s="190" t="str">
        <f t="shared" si="1"/>
        <v>[S03_EmittingInstallations][5][NumberOfInstallations]</v>
      </c>
    </row>
    <row r="71" spans="1:15" x14ac:dyDescent="0.3">
      <c r="A71" t="s">
        <v>2277</v>
      </c>
      <c r="B71" t="s">
        <v>1796</v>
      </c>
      <c r="C71" t="s">
        <v>1799</v>
      </c>
      <c r="D71">
        <v>1</v>
      </c>
      <c r="E71" t="s">
        <v>1447</v>
      </c>
      <c r="F71" t="s">
        <v>1800</v>
      </c>
      <c r="G71" t="s">
        <v>1759</v>
      </c>
      <c r="H71" t="s">
        <v>2279</v>
      </c>
      <c r="I71" t="s">
        <v>2279</v>
      </c>
      <c r="J71" t="s">
        <v>2279</v>
      </c>
      <c r="K71" t="s">
        <v>2279</v>
      </c>
      <c r="L71" t="s">
        <v>1419</v>
      </c>
      <c r="M71" t="s">
        <v>2279</v>
      </c>
      <c r="N71" t="s">
        <v>2279</v>
      </c>
      <c r="O71" s="190" t="str">
        <f t="shared" si="1"/>
        <v>[S03_ActivityPermits][1][ActivityPermitsIssued]</v>
      </c>
    </row>
    <row r="72" spans="1:15" x14ac:dyDescent="0.3">
      <c r="A72" t="s">
        <v>2277</v>
      </c>
      <c r="B72" t="s">
        <v>1796</v>
      </c>
      <c r="C72" t="s">
        <v>1799</v>
      </c>
      <c r="D72">
        <v>2</v>
      </c>
      <c r="E72" t="s">
        <v>1447</v>
      </c>
      <c r="F72" t="s">
        <v>1800</v>
      </c>
      <c r="G72" t="s">
        <v>1759</v>
      </c>
      <c r="H72" t="s">
        <v>2279</v>
      </c>
      <c r="I72" t="s">
        <v>2279</v>
      </c>
      <c r="J72" t="s">
        <v>2279</v>
      </c>
      <c r="K72" t="s">
        <v>2279</v>
      </c>
      <c r="L72" t="s">
        <v>1419</v>
      </c>
      <c r="M72" t="s">
        <v>2279</v>
      </c>
      <c r="N72" t="s">
        <v>2279</v>
      </c>
      <c r="O72" s="190" t="str">
        <f t="shared" si="1"/>
        <v>[S03_ActivityPermits][2][ActivityPermitsIssued]</v>
      </c>
    </row>
    <row r="73" spans="1:15" x14ac:dyDescent="0.3">
      <c r="A73" t="s">
        <v>2277</v>
      </c>
      <c r="B73" t="s">
        <v>1796</v>
      </c>
      <c r="C73" t="s">
        <v>1799</v>
      </c>
      <c r="D73">
        <v>3</v>
      </c>
      <c r="E73" t="s">
        <v>1447</v>
      </c>
      <c r="F73" t="s">
        <v>1800</v>
      </c>
      <c r="G73" t="s">
        <v>1759</v>
      </c>
      <c r="H73" t="s">
        <v>2279</v>
      </c>
      <c r="I73" t="s">
        <v>2279</v>
      </c>
      <c r="J73" t="s">
        <v>2279</v>
      </c>
      <c r="K73" t="s">
        <v>2279</v>
      </c>
      <c r="L73" t="s">
        <v>1447</v>
      </c>
      <c r="M73" t="s">
        <v>2279</v>
      </c>
      <c r="N73" t="s">
        <v>2279</v>
      </c>
      <c r="O73" s="190" t="str">
        <f t="shared" si="1"/>
        <v>[S03_ActivityPermits][3][ActivityPermitsIssued]</v>
      </c>
    </row>
    <row r="74" spans="1:15" x14ac:dyDescent="0.3">
      <c r="A74" t="s">
        <v>2277</v>
      </c>
      <c r="B74" t="s">
        <v>1796</v>
      </c>
      <c r="C74" t="s">
        <v>1799</v>
      </c>
      <c r="D74">
        <v>4</v>
      </c>
      <c r="E74" t="s">
        <v>1447</v>
      </c>
      <c r="F74" t="s">
        <v>1800</v>
      </c>
      <c r="G74" t="s">
        <v>1759</v>
      </c>
      <c r="H74" t="s">
        <v>2279</v>
      </c>
      <c r="I74" t="s">
        <v>2279</v>
      </c>
      <c r="J74" t="s">
        <v>2279</v>
      </c>
      <c r="K74" t="s">
        <v>2279</v>
      </c>
      <c r="L74" t="s">
        <v>1447</v>
      </c>
      <c r="M74" t="s">
        <v>2279</v>
      </c>
      <c r="N74" t="s">
        <v>2279</v>
      </c>
      <c r="O74" s="190" t="str">
        <f t="shared" si="1"/>
        <v>[S03_ActivityPermits][4][ActivityPermitsIssued]</v>
      </c>
    </row>
    <row r="75" spans="1:15" x14ac:dyDescent="0.3">
      <c r="A75" t="s">
        <v>2277</v>
      </c>
      <c r="B75" t="s">
        <v>1796</v>
      </c>
      <c r="C75" t="s">
        <v>1799</v>
      </c>
      <c r="D75">
        <v>5</v>
      </c>
      <c r="E75" t="s">
        <v>1447</v>
      </c>
      <c r="F75" t="s">
        <v>1800</v>
      </c>
      <c r="G75" t="s">
        <v>1759</v>
      </c>
      <c r="H75" t="s">
        <v>2279</v>
      </c>
      <c r="I75" t="s">
        <v>2279</v>
      </c>
      <c r="J75" t="s">
        <v>2279</v>
      </c>
      <c r="K75" t="s">
        <v>2279</v>
      </c>
      <c r="L75" t="s">
        <v>1419</v>
      </c>
      <c r="M75" t="s">
        <v>2279</v>
      </c>
      <c r="N75" t="s">
        <v>2279</v>
      </c>
      <c r="O75" s="190" t="str">
        <f t="shared" si="1"/>
        <v>[S03_ActivityPermits][5][ActivityPermitsIssued]</v>
      </c>
    </row>
    <row r="76" spans="1:15" x14ac:dyDescent="0.3">
      <c r="A76" t="s">
        <v>2277</v>
      </c>
      <c r="B76" t="s">
        <v>1796</v>
      </c>
      <c r="C76" t="s">
        <v>1799</v>
      </c>
      <c r="D76">
        <v>6</v>
      </c>
      <c r="E76" t="s">
        <v>1447</v>
      </c>
      <c r="F76" t="s">
        <v>1800</v>
      </c>
      <c r="G76" t="s">
        <v>1759</v>
      </c>
      <c r="H76" t="s">
        <v>2279</v>
      </c>
      <c r="I76" t="s">
        <v>2279</v>
      </c>
      <c r="J76" t="s">
        <v>2279</v>
      </c>
      <c r="K76" t="s">
        <v>2279</v>
      </c>
      <c r="L76" t="s">
        <v>1419</v>
      </c>
      <c r="M76" t="s">
        <v>2279</v>
      </c>
      <c r="N76" t="s">
        <v>2279</v>
      </c>
      <c r="O76" s="190" t="str">
        <f t="shared" si="1"/>
        <v>[S03_ActivityPermits][6][ActivityPermitsIssued]</v>
      </c>
    </row>
    <row r="77" spans="1:15" x14ac:dyDescent="0.3">
      <c r="A77" t="s">
        <v>2277</v>
      </c>
      <c r="B77" t="s">
        <v>1796</v>
      </c>
      <c r="C77" t="s">
        <v>1799</v>
      </c>
      <c r="D77">
        <v>7</v>
      </c>
      <c r="E77" t="s">
        <v>1447</v>
      </c>
      <c r="F77" t="s">
        <v>1800</v>
      </c>
      <c r="G77" t="s">
        <v>1759</v>
      </c>
      <c r="H77" t="s">
        <v>2279</v>
      </c>
      <c r="I77" t="s">
        <v>2279</v>
      </c>
      <c r="J77" t="s">
        <v>2279</v>
      </c>
      <c r="K77" t="s">
        <v>2279</v>
      </c>
      <c r="L77" t="s">
        <v>1447</v>
      </c>
      <c r="M77" t="s">
        <v>2279</v>
      </c>
      <c r="N77" t="s">
        <v>2279</v>
      </c>
      <c r="O77" s="190" t="str">
        <f t="shared" si="1"/>
        <v>[S03_ActivityPermits][7][ActivityPermitsIssued]</v>
      </c>
    </row>
    <row r="78" spans="1:15" x14ac:dyDescent="0.3">
      <c r="A78" t="s">
        <v>2277</v>
      </c>
      <c r="B78" t="s">
        <v>1796</v>
      </c>
      <c r="C78" t="s">
        <v>1799</v>
      </c>
      <c r="D78">
        <v>8</v>
      </c>
      <c r="E78" t="s">
        <v>1447</v>
      </c>
      <c r="F78" t="s">
        <v>1800</v>
      </c>
      <c r="G78" t="s">
        <v>1759</v>
      </c>
      <c r="H78" t="s">
        <v>2279</v>
      </c>
      <c r="I78" t="s">
        <v>2279</v>
      </c>
      <c r="J78" t="s">
        <v>2279</v>
      </c>
      <c r="K78" t="s">
        <v>2279</v>
      </c>
      <c r="L78" t="s">
        <v>1447</v>
      </c>
      <c r="M78" t="s">
        <v>2279</v>
      </c>
      <c r="N78" t="s">
        <v>2279</v>
      </c>
      <c r="O78" s="190" t="str">
        <f t="shared" si="1"/>
        <v>[S03_ActivityPermits][8][ActivityPermitsIssued]</v>
      </c>
    </row>
    <row r="79" spans="1:15" x14ac:dyDescent="0.3">
      <c r="A79" t="s">
        <v>2277</v>
      </c>
      <c r="B79" t="s">
        <v>1796</v>
      </c>
      <c r="C79" t="s">
        <v>1799</v>
      </c>
      <c r="D79">
        <v>9</v>
      </c>
      <c r="E79" t="s">
        <v>1447</v>
      </c>
      <c r="F79" t="s">
        <v>1800</v>
      </c>
      <c r="G79" t="s">
        <v>1759</v>
      </c>
      <c r="H79" t="s">
        <v>2279</v>
      </c>
      <c r="I79" t="s">
        <v>2279</v>
      </c>
      <c r="J79" t="s">
        <v>2279</v>
      </c>
      <c r="K79" t="s">
        <v>2279</v>
      </c>
      <c r="L79" t="s">
        <v>1419</v>
      </c>
      <c r="M79" t="s">
        <v>2279</v>
      </c>
      <c r="N79" t="s">
        <v>2279</v>
      </c>
      <c r="O79" s="190" t="str">
        <f t="shared" si="1"/>
        <v>[S03_ActivityPermits][9][ActivityPermitsIssued]</v>
      </c>
    </row>
    <row r="80" spans="1:15" x14ac:dyDescent="0.3">
      <c r="A80" t="s">
        <v>2277</v>
      </c>
      <c r="B80" t="s">
        <v>1796</v>
      </c>
      <c r="C80" t="s">
        <v>1799</v>
      </c>
      <c r="D80">
        <v>10</v>
      </c>
      <c r="E80" t="s">
        <v>1447</v>
      </c>
      <c r="F80" t="s">
        <v>1800</v>
      </c>
      <c r="G80" t="s">
        <v>1759</v>
      </c>
      <c r="H80" t="s">
        <v>2279</v>
      </c>
      <c r="I80" t="s">
        <v>2279</v>
      </c>
      <c r="J80" t="s">
        <v>2279</v>
      </c>
      <c r="K80" t="s">
        <v>2279</v>
      </c>
      <c r="L80" t="s">
        <v>1419</v>
      </c>
      <c r="M80" t="s">
        <v>2279</v>
      </c>
      <c r="N80" t="s">
        <v>2279</v>
      </c>
      <c r="O80" s="190" t="str">
        <f t="shared" si="1"/>
        <v>[S03_ActivityPermits][10][ActivityPermitsIssued]</v>
      </c>
    </row>
    <row r="81" spans="1:15" x14ac:dyDescent="0.3">
      <c r="A81" t="s">
        <v>2277</v>
      </c>
      <c r="B81" t="s">
        <v>1796</v>
      </c>
      <c r="C81" t="s">
        <v>1799</v>
      </c>
      <c r="D81">
        <v>11</v>
      </c>
      <c r="E81" t="s">
        <v>1447</v>
      </c>
      <c r="F81" t="s">
        <v>1800</v>
      </c>
      <c r="G81" t="s">
        <v>1759</v>
      </c>
      <c r="H81" t="s">
        <v>2279</v>
      </c>
      <c r="I81" t="s">
        <v>2279</v>
      </c>
      <c r="J81" t="s">
        <v>2279</v>
      </c>
      <c r="K81" t="s">
        <v>2279</v>
      </c>
      <c r="L81" t="s">
        <v>1419</v>
      </c>
      <c r="M81" t="s">
        <v>2279</v>
      </c>
      <c r="N81" t="s">
        <v>2279</v>
      </c>
      <c r="O81" s="190" t="str">
        <f t="shared" si="1"/>
        <v>[S03_ActivityPermits][11][ActivityPermitsIssued]</v>
      </c>
    </row>
    <row r="82" spans="1:15" x14ac:dyDescent="0.3">
      <c r="A82" t="s">
        <v>2277</v>
      </c>
      <c r="B82" t="s">
        <v>1796</v>
      </c>
      <c r="C82" t="s">
        <v>1799</v>
      </c>
      <c r="D82">
        <v>12</v>
      </c>
      <c r="E82" t="s">
        <v>1447</v>
      </c>
      <c r="F82" t="s">
        <v>1800</v>
      </c>
      <c r="G82" t="s">
        <v>1759</v>
      </c>
      <c r="H82" t="s">
        <v>2279</v>
      </c>
      <c r="I82" t="s">
        <v>2279</v>
      </c>
      <c r="J82" t="s">
        <v>2279</v>
      </c>
      <c r="K82" t="s">
        <v>2279</v>
      </c>
      <c r="L82" t="s">
        <v>1419</v>
      </c>
      <c r="M82" t="s">
        <v>2279</v>
      </c>
      <c r="N82" t="s">
        <v>2279</v>
      </c>
      <c r="O82" s="190" t="str">
        <f t="shared" si="1"/>
        <v>[S03_ActivityPermits][12][ActivityPermitsIssued]</v>
      </c>
    </row>
    <row r="83" spans="1:15" x14ac:dyDescent="0.3">
      <c r="A83" t="s">
        <v>2277</v>
      </c>
      <c r="B83" t="s">
        <v>1796</v>
      </c>
      <c r="C83" t="s">
        <v>1799</v>
      </c>
      <c r="D83">
        <v>13</v>
      </c>
      <c r="E83" t="s">
        <v>1447</v>
      </c>
      <c r="F83" t="s">
        <v>1800</v>
      </c>
      <c r="G83" t="s">
        <v>1759</v>
      </c>
      <c r="H83" t="s">
        <v>2279</v>
      </c>
      <c r="I83" t="s">
        <v>2279</v>
      </c>
      <c r="J83" t="s">
        <v>2279</v>
      </c>
      <c r="K83" t="s">
        <v>2279</v>
      </c>
      <c r="L83" t="s">
        <v>1419</v>
      </c>
      <c r="M83" t="s">
        <v>2279</v>
      </c>
      <c r="N83" t="s">
        <v>2279</v>
      </c>
      <c r="O83" s="190" t="str">
        <f t="shared" si="1"/>
        <v>[S03_ActivityPermits][13][ActivityPermitsIssued]</v>
      </c>
    </row>
    <row r="84" spans="1:15" x14ac:dyDescent="0.3">
      <c r="A84" t="s">
        <v>2277</v>
      </c>
      <c r="B84" t="s">
        <v>1796</v>
      </c>
      <c r="C84" t="s">
        <v>1799</v>
      </c>
      <c r="D84">
        <v>14</v>
      </c>
      <c r="E84" t="s">
        <v>1447</v>
      </c>
      <c r="F84" t="s">
        <v>1800</v>
      </c>
      <c r="G84" t="s">
        <v>1759</v>
      </c>
      <c r="H84" t="s">
        <v>2279</v>
      </c>
      <c r="I84" t="s">
        <v>2279</v>
      </c>
      <c r="J84" t="s">
        <v>2279</v>
      </c>
      <c r="K84" t="s">
        <v>2279</v>
      </c>
      <c r="L84" t="s">
        <v>1447</v>
      </c>
      <c r="M84" t="s">
        <v>2279</v>
      </c>
      <c r="N84" t="s">
        <v>2279</v>
      </c>
      <c r="O84" s="190" t="str">
        <f t="shared" si="1"/>
        <v>[S03_ActivityPermits][14][ActivityPermitsIssued]</v>
      </c>
    </row>
    <row r="85" spans="1:15" x14ac:dyDescent="0.3">
      <c r="A85" t="s">
        <v>2277</v>
      </c>
      <c r="B85" t="s">
        <v>1796</v>
      </c>
      <c r="C85" t="s">
        <v>1799</v>
      </c>
      <c r="D85">
        <v>15</v>
      </c>
      <c r="E85" t="s">
        <v>1447</v>
      </c>
      <c r="F85" t="s">
        <v>1800</v>
      </c>
      <c r="G85" t="s">
        <v>1759</v>
      </c>
      <c r="H85" t="s">
        <v>2279</v>
      </c>
      <c r="I85" t="s">
        <v>2279</v>
      </c>
      <c r="J85" t="s">
        <v>2279</v>
      </c>
      <c r="K85" t="s">
        <v>2279</v>
      </c>
      <c r="L85" t="s">
        <v>1419</v>
      </c>
      <c r="M85" t="s">
        <v>2279</v>
      </c>
      <c r="N85" t="s">
        <v>2279</v>
      </c>
      <c r="O85" s="190" t="str">
        <f t="shared" si="1"/>
        <v>[S03_ActivityPermits][15][ActivityPermitsIssued]</v>
      </c>
    </row>
    <row r="86" spans="1:15" x14ac:dyDescent="0.3">
      <c r="A86" t="s">
        <v>2277</v>
      </c>
      <c r="B86" t="s">
        <v>1796</v>
      </c>
      <c r="C86" t="s">
        <v>1799</v>
      </c>
      <c r="D86">
        <v>16</v>
      </c>
      <c r="E86" t="s">
        <v>1447</v>
      </c>
      <c r="F86" t="s">
        <v>1800</v>
      </c>
      <c r="G86" t="s">
        <v>1759</v>
      </c>
      <c r="H86" t="s">
        <v>2279</v>
      </c>
      <c r="I86" t="s">
        <v>2279</v>
      </c>
      <c r="J86" t="s">
        <v>2279</v>
      </c>
      <c r="K86" t="s">
        <v>2279</v>
      </c>
      <c r="L86" t="s">
        <v>1419</v>
      </c>
      <c r="M86" t="s">
        <v>2279</v>
      </c>
      <c r="N86" t="s">
        <v>2279</v>
      </c>
      <c r="O86" s="190" t="str">
        <f t="shared" si="1"/>
        <v>[S03_ActivityPermits][16][ActivityPermitsIssued]</v>
      </c>
    </row>
    <row r="87" spans="1:15" x14ac:dyDescent="0.3">
      <c r="A87" t="s">
        <v>2277</v>
      </c>
      <c r="B87" t="s">
        <v>1796</v>
      </c>
      <c r="C87" t="s">
        <v>1799</v>
      </c>
      <c r="D87">
        <v>17</v>
      </c>
      <c r="E87" t="s">
        <v>1447</v>
      </c>
      <c r="F87" t="s">
        <v>1800</v>
      </c>
      <c r="G87" t="s">
        <v>1759</v>
      </c>
      <c r="H87" t="s">
        <v>2279</v>
      </c>
      <c r="I87" t="s">
        <v>2279</v>
      </c>
      <c r="J87" t="s">
        <v>2279</v>
      </c>
      <c r="K87" t="s">
        <v>2279</v>
      </c>
      <c r="L87" t="s">
        <v>1419</v>
      </c>
      <c r="M87" t="s">
        <v>2279</v>
      </c>
      <c r="N87" t="s">
        <v>2279</v>
      </c>
      <c r="O87" s="190" t="str">
        <f t="shared" si="1"/>
        <v>[S03_ActivityPermits][17][ActivityPermitsIssued]</v>
      </c>
    </row>
    <row r="88" spans="1:15" x14ac:dyDescent="0.3">
      <c r="A88" t="s">
        <v>2277</v>
      </c>
      <c r="B88" t="s">
        <v>1796</v>
      </c>
      <c r="C88" t="s">
        <v>1799</v>
      </c>
      <c r="D88">
        <v>18</v>
      </c>
      <c r="E88" t="s">
        <v>1447</v>
      </c>
      <c r="F88" t="s">
        <v>1800</v>
      </c>
      <c r="G88" t="s">
        <v>1759</v>
      </c>
      <c r="H88" t="s">
        <v>2279</v>
      </c>
      <c r="I88" t="s">
        <v>2279</v>
      </c>
      <c r="J88" t="s">
        <v>2279</v>
      </c>
      <c r="K88" t="s">
        <v>2279</v>
      </c>
      <c r="L88" t="s">
        <v>1447</v>
      </c>
      <c r="M88" t="s">
        <v>2279</v>
      </c>
      <c r="N88" t="s">
        <v>2279</v>
      </c>
      <c r="O88" s="190" t="str">
        <f t="shared" si="1"/>
        <v>[S03_ActivityPermits][18][ActivityPermitsIssued]</v>
      </c>
    </row>
    <row r="89" spans="1:15" x14ac:dyDescent="0.3">
      <c r="A89" t="s">
        <v>2277</v>
      </c>
      <c r="B89" t="s">
        <v>1796</v>
      </c>
      <c r="C89" t="s">
        <v>1799</v>
      </c>
      <c r="D89">
        <v>19</v>
      </c>
      <c r="E89" t="s">
        <v>1447</v>
      </c>
      <c r="F89" t="s">
        <v>1800</v>
      </c>
      <c r="G89" t="s">
        <v>1759</v>
      </c>
      <c r="H89" t="s">
        <v>2279</v>
      </c>
      <c r="I89" t="s">
        <v>2279</v>
      </c>
      <c r="J89" t="s">
        <v>2279</v>
      </c>
      <c r="K89" t="s">
        <v>2279</v>
      </c>
      <c r="L89" t="s">
        <v>1419</v>
      </c>
      <c r="M89" t="s">
        <v>2279</v>
      </c>
      <c r="N89" t="s">
        <v>2279</v>
      </c>
      <c r="O89" s="190" t="str">
        <f t="shared" si="1"/>
        <v>[S03_ActivityPermits][19][ActivityPermitsIssued]</v>
      </c>
    </row>
    <row r="90" spans="1:15" x14ac:dyDescent="0.3">
      <c r="A90" t="s">
        <v>2277</v>
      </c>
      <c r="B90" t="s">
        <v>1796</v>
      </c>
      <c r="C90" t="s">
        <v>1799</v>
      </c>
      <c r="D90">
        <v>20</v>
      </c>
      <c r="E90" t="s">
        <v>1447</v>
      </c>
      <c r="F90" t="s">
        <v>1800</v>
      </c>
      <c r="G90" t="s">
        <v>1759</v>
      </c>
      <c r="H90" t="s">
        <v>2279</v>
      </c>
      <c r="I90" t="s">
        <v>2279</v>
      </c>
      <c r="J90" t="s">
        <v>2279</v>
      </c>
      <c r="K90" t="s">
        <v>2279</v>
      </c>
      <c r="L90" t="s">
        <v>1447</v>
      </c>
      <c r="M90" t="s">
        <v>2279</v>
      </c>
      <c r="N90" t="s">
        <v>2279</v>
      </c>
      <c r="O90" s="190" t="str">
        <f t="shared" si="1"/>
        <v>[S03_ActivityPermits][20][ActivityPermitsIssued]</v>
      </c>
    </row>
    <row r="91" spans="1:15" x14ac:dyDescent="0.3">
      <c r="A91" t="s">
        <v>2277</v>
      </c>
      <c r="B91" t="s">
        <v>1796</v>
      </c>
      <c r="C91" t="s">
        <v>1799</v>
      </c>
      <c r="D91">
        <v>21</v>
      </c>
      <c r="E91" t="s">
        <v>1447</v>
      </c>
      <c r="F91" t="s">
        <v>1800</v>
      </c>
      <c r="G91" t="s">
        <v>1759</v>
      </c>
      <c r="H91" t="s">
        <v>2279</v>
      </c>
      <c r="I91" t="s">
        <v>2279</v>
      </c>
      <c r="J91" t="s">
        <v>2279</v>
      </c>
      <c r="K91" t="s">
        <v>2279</v>
      </c>
      <c r="L91" t="s">
        <v>1447</v>
      </c>
      <c r="M91" t="s">
        <v>2279</v>
      </c>
      <c r="N91" t="s">
        <v>2279</v>
      </c>
      <c r="O91" s="190" t="str">
        <f t="shared" si="1"/>
        <v>[S03_ActivityPermits][21][ActivityPermitsIssued]</v>
      </c>
    </row>
    <row r="92" spans="1:15" x14ac:dyDescent="0.3">
      <c r="A92" t="s">
        <v>2277</v>
      </c>
      <c r="B92" t="s">
        <v>1796</v>
      </c>
      <c r="C92" t="s">
        <v>1799</v>
      </c>
      <c r="D92">
        <v>22</v>
      </c>
      <c r="E92" t="s">
        <v>1447</v>
      </c>
      <c r="F92" t="s">
        <v>1800</v>
      </c>
      <c r="G92" t="s">
        <v>1759</v>
      </c>
      <c r="H92" t="s">
        <v>2279</v>
      </c>
      <c r="I92" t="s">
        <v>2279</v>
      </c>
      <c r="J92" t="s">
        <v>2279</v>
      </c>
      <c r="K92" t="s">
        <v>2279</v>
      </c>
      <c r="L92" t="s">
        <v>1419</v>
      </c>
      <c r="M92" t="s">
        <v>2279</v>
      </c>
      <c r="N92" t="s">
        <v>2279</v>
      </c>
      <c r="O92" s="190" t="str">
        <f t="shared" si="1"/>
        <v>[S03_ActivityPermits][22][ActivityPermitsIssued]</v>
      </c>
    </row>
    <row r="93" spans="1:15" x14ac:dyDescent="0.3">
      <c r="A93" t="s">
        <v>2277</v>
      </c>
      <c r="B93" t="s">
        <v>1796</v>
      </c>
      <c r="C93" t="s">
        <v>1799</v>
      </c>
      <c r="D93">
        <v>23</v>
      </c>
      <c r="E93" t="s">
        <v>1447</v>
      </c>
      <c r="F93" t="s">
        <v>1800</v>
      </c>
      <c r="G93" t="s">
        <v>1759</v>
      </c>
      <c r="H93" t="s">
        <v>2279</v>
      </c>
      <c r="I93" t="s">
        <v>2279</v>
      </c>
      <c r="J93" t="s">
        <v>2279</v>
      </c>
      <c r="K93" t="s">
        <v>2279</v>
      </c>
      <c r="L93" t="s">
        <v>1419</v>
      </c>
      <c r="M93" t="s">
        <v>2279</v>
      </c>
      <c r="N93" t="s">
        <v>2279</v>
      </c>
      <c r="O93" s="190" t="str">
        <f t="shared" si="1"/>
        <v>[S03_ActivityPermits][23][ActivityPermitsIssued]</v>
      </c>
    </row>
    <row r="94" spans="1:15" x14ac:dyDescent="0.3">
      <c r="A94" t="s">
        <v>2277</v>
      </c>
      <c r="B94" t="s">
        <v>1796</v>
      </c>
      <c r="C94" t="s">
        <v>1799</v>
      </c>
      <c r="D94">
        <v>24</v>
      </c>
      <c r="E94" t="s">
        <v>1447</v>
      </c>
      <c r="F94" t="s">
        <v>1800</v>
      </c>
      <c r="G94" t="s">
        <v>1759</v>
      </c>
      <c r="H94" t="s">
        <v>2279</v>
      </c>
      <c r="I94" t="s">
        <v>2279</v>
      </c>
      <c r="J94" t="s">
        <v>2279</v>
      </c>
      <c r="K94" t="s">
        <v>2279</v>
      </c>
      <c r="L94" t="s">
        <v>1419</v>
      </c>
      <c r="M94" t="s">
        <v>2279</v>
      </c>
      <c r="N94" t="s">
        <v>2279</v>
      </c>
      <c r="O94" s="190" t="str">
        <f t="shared" si="1"/>
        <v>[S03_ActivityPermits][24][ActivityPermitsIssued]</v>
      </c>
    </row>
    <row r="95" spans="1:15" x14ac:dyDescent="0.3">
      <c r="A95" t="s">
        <v>2277</v>
      </c>
      <c r="B95" t="s">
        <v>1796</v>
      </c>
      <c r="C95" t="s">
        <v>1799</v>
      </c>
      <c r="D95">
        <v>25</v>
      </c>
      <c r="E95" t="s">
        <v>1447</v>
      </c>
      <c r="F95" t="s">
        <v>1800</v>
      </c>
      <c r="G95" t="s">
        <v>1759</v>
      </c>
      <c r="H95" t="s">
        <v>2279</v>
      </c>
      <c r="I95" t="s">
        <v>2279</v>
      </c>
      <c r="J95" t="s">
        <v>2279</v>
      </c>
      <c r="K95" t="s">
        <v>2279</v>
      </c>
      <c r="L95" t="s">
        <v>1419</v>
      </c>
      <c r="M95" t="s">
        <v>2279</v>
      </c>
      <c r="N95" t="s">
        <v>2279</v>
      </c>
      <c r="O95" s="190" t="str">
        <f t="shared" si="1"/>
        <v>[S03_ActivityPermits][25][ActivityPermitsIssued]</v>
      </c>
    </row>
    <row r="96" spans="1:15" x14ac:dyDescent="0.3">
      <c r="A96" t="s">
        <v>2277</v>
      </c>
      <c r="B96" t="s">
        <v>1796</v>
      </c>
      <c r="C96" t="s">
        <v>1799</v>
      </c>
      <c r="D96">
        <v>26</v>
      </c>
      <c r="E96" t="s">
        <v>1447</v>
      </c>
      <c r="F96" t="s">
        <v>1800</v>
      </c>
      <c r="G96" t="s">
        <v>1759</v>
      </c>
      <c r="H96" t="s">
        <v>2279</v>
      </c>
      <c r="I96" t="s">
        <v>2279</v>
      </c>
      <c r="J96" t="s">
        <v>2279</v>
      </c>
      <c r="K96" t="s">
        <v>2279</v>
      </c>
      <c r="L96" t="s">
        <v>1447</v>
      </c>
      <c r="M96" t="s">
        <v>2279</v>
      </c>
      <c r="N96" t="s">
        <v>2279</v>
      </c>
      <c r="O96" s="190" t="str">
        <f t="shared" si="1"/>
        <v>[S03_ActivityPermits][26][ActivityPermitsIssued]</v>
      </c>
    </row>
    <row r="97" spans="1:15" x14ac:dyDescent="0.3">
      <c r="A97" t="s">
        <v>2277</v>
      </c>
      <c r="B97" t="s">
        <v>1796</v>
      </c>
      <c r="C97" t="s">
        <v>1799</v>
      </c>
      <c r="D97">
        <v>27</v>
      </c>
      <c r="E97" t="s">
        <v>1447</v>
      </c>
      <c r="F97" t="s">
        <v>1800</v>
      </c>
      <c r="G97" t="s">
        <v>1759</v>
      </c>
      <c r="H97" t="s">
        <v>2279</v>
      </c>
      <c r="I97" t="s">
        <v>2279</v>
      </c>
      <c r="J97" t="s">
        <v>2279</v>
      </c>
      <c r="K97" t="s">
        <v>2279</v>
      </c>
      <c r="L97" t="s">
        <v>1447</v>
      </c>
      <c r="M97" t="s">
        <v>2279</v>
      </c>
      <c r="N97" t="s">
        <v>2279</v>
      </c>
      <c r="O97" s="190" t="str">
        <f t="shared" si="1"/>
        <v>[S03_ActivityPermits][27][ActivityPermitsIssued]</v>
      </c>
    </row>
    <row r="98" spans="1:15" x14ac:dyDescent="0.3">
      <c r="A98" t="s">
        <v>2277</v>
      </c>
      <c r="B98" t="s">
        <v>1796</v>
      </c>
      <c r="C98" t="s">
        <v>1799</v>
      </c>
      <c r="D98">
        <v>28</v>
      </c>
      <c r="E98" t="s">
        <v>1447</v>
      </c>
      <c r="F98" t="s">
        <v>1800</v>
      </c>
      <c r="G98" t="s">
        <v>1759</v>
      </c>
      <c r="H98" t="s">
        <v>2279</v>
      </c>
      <c r="I98" t="s">
        <v>2279</v>
      </c>
      <c r="J98" t="s">
        <v>2279</v>
      </c>
      <c r="K98" t="s">
        <v>2279</v>
      </c>
      <c r="L98" t="s">
        <v>1447</v>
      </c>
      <c r="M98" t="s">
        <v>2279</v>
      </c>
      <c r="N98" t="s">
        <v>2279</v>
      </c>
      <c r="O98" s="190" t="str">
        <f t="shared" si="1"/>
        <v>[S03_ActivityPermits][28][ActivityPermitsIssued]</v>
      </c>
    </row>
    <row r="99" spans="1:15" x14ac:dyDescent="0.3">
      <c r="A99" t="s">
        <v>2277</v>
      </c>
      <c r="B99" t="s">
        <v>1801</v>
      </c>
      <c r="C99" t="s">
        <v>1802</v>
      </c>
      <c r="D99">
        <v>0</v>
      </c>
      <c r="E99" t="s">
        <v>1447</v>
      </c>
      <c r="F99" t="s">
        <v>1802</v>
      </c>
      <c r="G99" t="s">
        <v>1759</v>
      </c>
      <c r="H99" t="s">
        <v>2279</v>
      </c>
      <c r="I99" t="s">
        <v>2279</v>
      </c>
      <c r="J99" t="s">
        <v>2279</v>
      </c>
      <c r="K99" t="s">
        <v>2279</v>
      </c>
      <c r="L99" t="s">
        <v>1447</v>
      </c>
      <c r="M99" t="s">
        <v>2279</v>
      </c>
      <c r="N99" t="s">
        <v>2279</v>
      </c>
      <c r="O99" s="190" t="str">
        <f t="shared" si="1"/>
        <v>[InstallationsExcludedArt27][0][InstallationsExcludedArt27]</v>
      </c>
    </row>
    <row r="100" spans="1:15" x14ac:dyDescent="0.3">
      <c r="A100" t="s">
        <v>2277</v>
      </c>
      <c r="B100" t="s">
        <v>1811</v>
      </c>
      <c r="C100" t="s">
        <v>1812</v>
      </c>
      <c r="D100">
        <v>1</v>
      </c>
      <c r="E100" t="s">
        <v>1447</v>
      </c>
      <c r="F100" t="s">
        <v>1813</v>
      </c>
      <c r="G100" t="s">
        <v>1748</v>
      </c>
      <c r="H100" t="s">
        <v>2279</v>
      </c>
      <c r="I100">
        <v>3</v>
      </c>
      <c r="J100" t="s">
        <v>2279</v>
      </c>
      <c r="K100" t="s">
        <v>2279</v>
      </c>
      <c r="L100" t="s">
        <v>2279</v>
      </c>
      <c r="M100" t="s">
        <v>2279</v>
      </c>
      <c r="N100" t="s">
        <v>2279</v>
      </c>
      <c r="O100" s="190" t="str">
        <f t="shared" si="1"/>
        <v>[S03_AircraftAnnex1Activities][1][NumberCommercialOperators]</v>
      </c>
    </row>
    <row r="101" spans="1:15" x14ac:dyDescent="0.3">
      <c r="A101" t="s">
        <v>2277</v>
      </c>
      <c r="B101" t="s">
        <v>1811</v>
      </c>
      <c r="C101" t="s">
        <v>1812</v>
      </c>
      <c r="D101">
        <v>2</v>
      </c>
      <c r="E101" t="s">
        <v>1447</v>
      </c>
      <c r="F101" t="s">
        <v>1813</v>
      </c>
      <c r="G101" t="s">
        <v>1748</v>
      </c>
      <c r="H101" t="s">
        <v>2279</v>
      </c>
      <c r="I101">
        <v>1</v>
      </c>
      <c r="J101" t="s">
        <v>2279</v>
      </c>
      <c r="K101" t="s">
        <v>2279</v>
      </c>
      <c r="L101" t="s">
        <v>2279</v>
      </c>
      <c r="M101" t="s">
        <v>2279</v>
      </c>
      <c r="N101" t="s">
        <v>2279</v>
      </c>
      <c r="O101" s="190" t="str">
        <f t="shared" si="1"/>
        <v>[S03_AircraftAnnex1Activities][2][NumberCommercialOperators]</v>
      </c>
    </row>
    <row r="102" spans="1:15" x14ac:dyDescent="0.3">
      <c r="A102" t="s">
        <v>2277</v>
      </c>
      <c r="B102" t="s">
        <v>1811</v>
      </c>
      <c r="C102" t="s">
        <v>1812</v>
      </c>
      <c r="D102">
        <v>3</v>
      </c>
      <c r="E102" t="s">
        <v>1447</v>
      </c>
      <c r="F102" t="s">
        <v>1813</v>
      </c>
      <c r="G102" t="s">
        <v>1748</v>
      </c>
      <c r="H102" t="s">
        <v>2279</v>
      </c>
      <c r="I102">
        <v>4</v>
      </c>
      <c r="J102" t="s">
        <v>2279</v>
      </c>
      <c r="K102" t="s">
        <v>2279</v>
      </c>
      <c r="L102" t="s">
        <v>2279</v>
      </c>
      <c r="M102" t="s">
        <v>2279</v>
      </c>
      <c r="N102" t="s">
        <v>2279</v>
      </c>
      <c r="O102" s="190" t="str">
        <f t="shared" si="1"/>
        <v>[S03_AircraftAnnex1Activities][3][NumberCommercialOperators]</v>
      </c>
    </row>
    <row r="103" spans="1:15" x14ac:dyDescent="0.3">
      <c r="A103" t="s">
        <v>2277</v>
      </c>
      <c r="B103" t="s">
        <v>1811</v>
      </c>
      <c r="C103" t="s">
        <v>1812</v>
      </c>
      <c r="D103">
        <v>1</v>
      </c>
      <c r="E103" t="s">
        <v>1447</v>
      </c>
      <c r="F103" t="s">
        <v>1815</v>
      </c>
      <c r="G103" t="s">
        <v>1748</v>
      </c>
      <c r="H103" t="s">
        <v>2279</v>
      </c>
      <c r="I103">
        <v>3</v>
      </c>
      <c r="J103" t="s">
        <v>2279</v>
      </c>
      <c r="K103" t="s">
        <v>2279</v>
      </c>
      <c r="L103" t="s">
        <v>2279</v>
      </c>
      <c r="M103" t="s">
        <v>2279</v>
      </c>
      <c r="N103" t="s">
        <v>2279</v>
      </c>
      <c r="O103" s="190" t="str">
        <f t="shared" si="1"/>
        <v>[S03_AircraftAnnex1Activities][1][NumberTotalOperators]</v>
      </c>
    </row>
    <row r="104" spans="1:15" x14ac:dyDescent="0.3">
      <c r="A104" t="s">
        <v>2277</v>
      </c>
      <c r="B104" t="s">
        <v>1811</v>
      </c>
      <c r="C104" t="s">
        <v>1812</v>
      </c>
      <c r="D104">
        <v>2</v>
      </c>
      <c r="E104" t="s">
        <v>1447</v>
      </c>
      <c r="F104" t="s">
        <v>1815</v>
      </c>
      <c r="G104" t="s">
        <v>1748</v>
      </c>
      <c r="H104" t="s">
        <v>2279</v>
      </c>
      <c r="I104">
        <v>1</v>
      </c>
      <c r="J104" t="s">
        <v>2279</v>
      </c>
      <c r="K104" t="s">
        <v>2279</v>
      </c>
      <c r="L104" t="s">
        <v>2279</v>
      </c>
      <c r="M104" t="s">
        <v>2279</v>
      </c>
      <c r="N104" t="s">
        <v>2279</v>
      </c>
      <c r="O104" s="190" t="str">
        <f t="shared" si="1"/>
        <v>[S03_AircraftAnnex1Activities][2][NumberTotalOperators]</v>
      </c>
    </row>
    <row r="105" spans="1:15" x14ac:dyDescent="0.3">
      <c r="A105" t="s">
        <v>2277</v>
      </c>
      <c r="B105" t="s">
        <v>1811</v>
      </c>
      <c r="C105" t="s">
        <v>1812</v>
      </c>
      <c r="D105">
        <v>3</v>
      </c>
      <c r="E105" t="s">
        <v>1447</v>
      </c>
      <c r="F105" t="s">
        <v>1815</v>
      </c>
      <c r="G105" t="s">
        <v>1748</v>
      </c>
      <c r="H105" t="s">
        <v>2279</v>
      </c>
      <c r="I105">
        <v>4</v>
      </c>
      <c r="J105" t="s">
        <v>2279</v>
      </c>
      <c r="K105" t="s">
        <v>2279</v>
      </c>
      <c r="L105" t="s">
        <v>2279</v>
      </c>
      <c r="M105" t="s">
        <v>2279</v>
      </c>
      <c r="N105" t="s">
        <v>2279</v>
      </c>
      <c r="O105" s="190" t="str">
        <f t="shared" si="1"/>
        <v>[S03_AircraftAnnex1Activities][3][NumberTotalOperators]</v>
      </c>
    </row>
    <row r="106" spans="1:15" x14ac:dyDescent="0.3">
      <c r="A106" t="s">
        <v>2277</v>
      </c>
      <c r="B106" t="s">
        <v>1816</v>
      </c>
      <c r="C106" t="s">
        <v>1817</v>
      </c>
      <c r="D106">
        <v>1</v>
      </c>
      <c r="E106" t="s">
        <v>1447</v>
      </c>
      <c r="F106" t="s">
        <v>1818</v>
      </c>
      <c r="G106" t="s">
        <v>1737</v>
      </c>
      <c r="H106" t="s">
        <v>2279</v>
      </c>
      <c r="I106" t="s">
        <v>2279</v>
      </c>
      <c r="J106" t="s">
        <v>2279</v>
      </c>
      <c r="K106" t="s">
        <v>2279</v>
      </c>
      <c r="L106" t="s">
        <v>1447</v>
      </c>
      <c r="M106" t="s">
        <v>2279</v>
      </c>
      <c r="N106" t="s">
        <v>2279</v>
      </c>
      <c r="O106" s="190" t="str">
        <f t="shared" si="1"/>
        <v>[S04_IEDProcedureRequirementsIntegratedYes][1][IntegrationYesNo]</v>
      </c>
    </row>
    <row r="107" spans="1:15" x14ac:dyDescent="0.3">
      <c r="A107" t="s">
        <v>2277</v>
      </c>
      <c r="B107" t="s">
        <v>1816</v>
      </c>
      <c r="C107" t="s">
        <v>1817</v>
      </c>
      <c r="D107">
        <v>2</v>
      </c>
      <c r="E107" t="s">
        <v>1447</v>
      </c>
      <c r="F107" t="s">
        <v>1818</v>
      </c>
      <c r="G107" t="s">
        <v>1737</v>
      </c>
      <c r="H107" t="s">
        <v>2279</v>
      </c>
      <c r="I107" t="s">
        <v>2279</v>
      </c>
      <c r="J107" t="s">
        <v>2279</v>
      </c>
      <c r="K107" t="s">
        <v>2279</v>
      </c>
      <c r="L107" t="s">
        <v>1447</v>
      </c>
      <c r="M107" t="s">
        <v>2279</v>
      </c>
      <c r="N107" t="s">
        <v>2279</v>
      </c>
      <c r="O107" s="190" t="str">
        <f t="shared" si="1"/>
        <v>[S04_IEDProcedureRequirementsIntegratedYes][2][IntegrationYesNo]</v>
      </c>
    </row>
    <row r="108" spans="1:15" x14ac:dyDescent="0.3">
      <c r="A108" t="s">
        <v>2277</v>
      </c>
      <c r="B108" t="s">
        <v>1816</v>
      </c>
      <c r="C108" t="s">
        <v>1817</v>
      </c>
      <c r="D108">
        <v>3</v>
      </c>
      <c r="E108" t="s">
        <v>1447</v>
      </c>
      <c r="F108" t="s">
        <v>1818</v>
      </c>
      <c r="G108" t="s">
        <v>1737</v>
      </c>
      <c r="H108" t="s">
        <v>2279</v>
      </c>
      <c r="I108" t="s">
        <v>2279</v>
      </c>
      <c r="J108" t="s">
        <v>2279</v>
      </c>
      <c r="K108" t="s">
        <v>2279</v>
      </c>
      <c r="L108" t="s">
        <v>1447</v>
      </c>
      <c r="M108" t="s">
        <v>2279</v>
      </c>
      <c r="N108" t="s">
        <v>2279</v>
      </c>
      <c r="O108" s="190" t="str">
        <f t="shared" si="1"/>
        <v>[S04_IEDProcedureRequirementsIntegratedYes][3][IntegrationYesNo]</v>
      </c>
    </row>
    <row r="109" spans="1:15" x14ac:dyDescent="0.3">
      <c r="A109" t="s">
        <v>2277</v>
      </c>
      <c r="B109" t="s">
        <v>1816</v>
      </c>
      <c r="C109" t="s">
        <v>1817</v>
      </c>
      <c r="D109">
        <v>4</v>
      </c>
      <c r="E109" t="s">
        <v>1447</v>
      </c>
      <c r="F109" t="s">
        <v>1818</v>
      </c>
      <c r="G109" t="s">
        <v>1737</v>
      </c>
      <c r="H109" t="s">
        <v>2279</v>
      </c>
      <c r="I109" t="s">
        <v>2279</v>
      </c>
      <c r="J109" t="s">
        <v>2279</v>
      </c>
      <c r="K109" t="s">
        <v>2279</v>
      </c>
      <c r="L109" t="s">
        <v>1447</v>
      </c>
      <c r="M109" t="s">
        <v>2279</v>
      </c>
      <c r="N109" t="s">
        <v>2279</v>
      </c>
      <c r="O109" s="190" t="str">
        <f t="shared" si="1"/>
        <v>[S04_IEDProcedureRequirementsIntegratedYes][4][IntegrationYesNo]</v>
      </c>
    </row>
    <row r="110" spans="1:15" x14ac:dyDescent="0.3">
      <c r="A110" t="s">
        <v>2277</v>
      </c>
      <c r="B110" t="s">
        <v>1816</v>
      </c>
      <c r="C110" t="s">
        <v>1817</v>
      </c>
      <c r="D110">
        <v>5</v>
      </c>
      <c r="E110" t="s">
        <v>1447</v>
      </c>
      <c r="F110" t="s">
        <v>1818</v>
      </c>
      <c r="G110" t="s">
        <v>1737</v>
      </c>
      <c r="H110" t="s">
        <v>2279</v>
      </c>
      <c r="I110" t="s">
        <v>2279</v>
      </c>
      <c r="J110" t="s">
        <v>2279</v>
      </c>
      <c r="K110" t="s">
        <v>2279</v>
      </c>
      <c r="L110" t="s">
        <v>1447</v>
      </c>
      <c r="M110" t="s">
        <v>2279</v>
      </c>
      <c r="N110" t="s">
        <v>2279</v>
      </c>
      <c r="O110" s="190" t="str">
        <f t="shared" si="1"/>
        <v>[S04_IEDProcedureRequirementsIntegratedYes][5][IntegrationYesNo]</v>
      </c>
    </row>
    <row r="111" spans="1:15" x14ac:dyDescent="0.3">
      <c r="A111" t="s">
        <v>2277</v>
      </c>
      <c r="B111" t="s">
        <v>1816</v>
      </c>
      <c r="C111" t="s">
        <v>1817</v>
      </c>
      <c r="D111">
        <v>6</v>
      </c>
      <c r="E111" t="s">
        <v>1447</v>
      </c>
      <c r="F111" t="s">
        <v>1818</v>
      </c>
      <c r="G111" t="s">
        <v>1737</v>
      </c>
      <c r="H111" t="s">
        <v>2279</v>
      </c>
      <c r="I111" t="s">
        <v>2279</v>
      </c>
      <c r="J111" t="s">
        <v>2279</v>
      </c>
      <c r="K111" t="s">
        <v>2279</v>
      </c>
      <c r="L111" t="s">
        <v>1447</v>
      </c>
      <c r="M111" t="s">
        <v>2279</v>
      </c>
      <c r="N111" t="s">
        <v>2279</v>
      </c>
      <c r="O111" s="190" t="str">
        <f t="shared" si="1"/>
        <v>[S04_IEDProcedureRequirementsIntegratedYes][6][IntegrationYesNo]</v>
      </c>
    </row>
    <row r="112" spans="1:15" x14ac:dyDescent="0.3">
      <c r="A112" t="s">
        <v>2277</v>
      </c>
      <c r="B112" t="s">
        <v>1820</v>
      </c>
      <c r="C112" t="s">
        <v>1821</v>
      </c>
      <c r="D112">
        <v>1</v>
      </c>
      <c r="E112" t="s">
        <v>1447</v>
      </c>
      <c r="F112" t="s">
        <v>1822</v>
      </c>
      <c r="G112" t="s">
        <v>1741</v>
      </c>
      <c r="H112" t="s">
        <v>2310</v>
      </c>
      <c r="I112" t="s">
        <v>2279</v>
      </c>
      <c r="J112" t="s">
        <v>2279</v>
      </c>
      <c r="K112" t="s">
        <v>2279</v>
      </c>
      <c r="L112" t="s">
        <v>2279</v>
      </c>
      <c r="M112" t="s">
        <v>2279</v>
      </c>
      <c r="N112" t="s">
        <v>2279</v>
      </c>
      <c r="O112" s="190" t="str">
        <f t="shared" si="1"/>
        <v>[S04_NationalLawPermitUpdate][1][PermitUpdateNationalLawDetail]</v>
      </c>
    </row>
    <row r="113" spans="1:15" x14ac:dyDescent="0.3">
      <c r="A113" t="s">
        <v>2277</v>
      </c>
      <c r="B113" t="s">
        <v>1820</v>
      </c>
      <c r="C113" t="s">
        <v>1821</v>
      </c>
      <c r="D113">
        <v>2</v>
      </c>
      <c r="E113" t="s">
        <v>1447</v>
      </c>
      <c r="F113" t="s">
        <v>1822</v>
      </c>
      <c r="G113" t="s">
        <v>1741</v>
      </c>
      <c r="H113" t="s">
        <v>1447</v>
      </c>
      <c r="I113" t="s">
        <v>2279</v>
      </c>
      <c r="J113" t="s">
        <v>2279</v>
      </c>
      <c r="K113" t="s">
        <v>2279</v>
      </c>
      <c r="L113" t="s">
        <v>2279</v>
      </c>
      <c r="M113" t="s">
        <v>2279</v>
      </c>
      <c r="N113" t="s">
        <v>2279</v>
      </c>
      <c r="O113" s="190" t="str">
        <f t="shared" si="1"/>
        <v>[S04_NationalLawPermitUpdate][2][PermitUpdateNationalLawDetail]</v>
      </c>
    </row>
    <row r="114" spans="1:15" x14ac:dyDescent="0.3">
      <c r="A114" t="s">
        <v>2277</v>
      </c>
      <c r="B114" t="s">
        <v>1820</v>
      </c>
      <c r="C114" t="s">
        <v>1821</v>
      </c>
      <c r="D114">
        <v>3</v>
      </c>
      <c r="E114" t="s">
        <v>1447</v>
      </c>
      <c r="F114" t="s">
        <v>1822</v>
      </c>
      <c r="G114" t="s">
        <v>1741</v>
      </c>
      <c r="H114" t="s">
        <v>2311</v>
      </c>
      <c r="I114" t="s">
        <v>2279</v>
      </c>
      <c r="J114" t="s">
        <v>2279</v>
      </c>
      <c r="K114" t="s">
        <v>2279</v>
      </c>
      <c r="L114" t="s">
        <v>2279</v>
      </c>
      <c r="M114" t="s">
        <v>2279</v>
      </c>
      <c r="N114" t="s">
        <v>2279</v>
      </c>
      <c r="O114" s="190" t="str">
        <f t="shared" si="1"/>
        <v>[S04_NationalLawPermitUpdate][3][PermitUpdateNationalLawDetail]</v>
      </c>
    </row>
    <row r="115" spans="1:15" x14ac:dyDescent="0.3">
      <c r="A115" t="s">
        <v>2277</v>
      </c>
      <c r="B115" t="s">
        <v>1820</v>
      </c>
      <c r="C115" t="s">
        <v>1821</v>
      </c>
      <c r="D115">
        <v>4</v>
      </c>
      <c r="E115" t="s">
        <v>1447</v>
      </c>
      <c r="F115" t="s">
        <v>1822</v>
      </c>
      <c r="G115" t="s">
        <v>1741</v>
      </c>
      <c r="H115" t="s">
        <v>2311</v>
      </c>
      <c r="I115" t="s">
        <v>2279</v>
      </c>
      <c r="J115" t="s">
        <v>2279</v>
      </c>
      <c r="K115" t="s">
        <v>2279</v>
      </c>
      <c r="L115" t="s">
        <v>2279</v>
      </c>
      <c r="M115" t="s">
        <v>2279</v>
      </c>
      <c r="N115" t="s">
        <v>2279</v>
      </c>
      <c r="O115" s="190" t="str">
        <f t="shared" si="1"/>
        <v>[S04_NationalLawPermitUpdate][4][PermitUpdateNationalLawDetail]</v>
      </c>
    </row>
    <row r="116" spans="1:15" x14ac:dyDescent="0.3">
      <c r="A116" t="s">
        <v>2277</v>
      </c>
      <c r="B116" t="s">
        <v>1820</v>
      </c>
      <c r="C116" t="s">
        <v>1821</v>
      </c>
      <c r="D116">
        <v>5</v>
      </c>
      <c r="E116" t="s">
        <v>1447</v>
      </c>
      <c r="F116" t="s">
        <v>1822</v>
      </c>
      <c r="G116" t="s">
        <v>1741</v>
      </c>
      <c r="H116" t="s">
        <v>2312</v>
      </c>
      <c r="I116" t="s">
        <v>2279</v>
      </c>
      <c r="J116" t="s">
        <v>2279</v>
      </c>
      <c r="K116" t="s">
        <v>2279</v>
      </c>
      <c r="L116" t="s">
        <v>2279</v>
      </c>
      <c r="M116" t="s">
        <v>2279</v>
      </c>
      <c r="N116" t="s">
        <v>2279</v>
      </c>
      <c r="O116" s="190" t="str">
        <f t="shared" si="1"/>
        <v>[S04_NationalLawPermitUpdate][5][PermitUpdateNationalLawDetail]</v>
      </c>
    </row>
    <row r="117" spans="1:15" x14ac:dyDescent="0.3">
      <c r="A117" t="s">
        <v>2277</v>
      </c>
      <c r="B117" t="s">
        <v>1820</v>
      </c>
      <c r="C117" t="s">
        <v>1823</v>
      </c>
      <c r="D117">
        <v>0</v>
      </c>
      <c r="E117" t="s">
        <v>1447</v>
      </c>
      <c r="F117" t="s">
        <v>1823</v>
      </c>
      <c r="G117" t="s">
        <v>1748</v>
      </c>
      <c r="H117" t="s">
        <v>2279</v>
      </c>
      <c r="I117">
        <v>5</v>
      </c>
      <c r="J117" t="s">
        <v>2279</v>
      </c>
      <c r="K117" t="s">
        <v>2279</v>
      </c>
      <c r="L117" t="s">
        <v>2279</v>
      </c>
      <c r="M117" t="s">
        <v>2279</v>
      </c>
      <c r="N117" t="s">
        <v>2279</v>
      </c>
      <c r="O117" s="190" t="str">
        <f t="shared" si="1"/>
        <v>[PermitUpdateTotalNumber][0][PermitUpdateTotalNumber]</v>
      </c>
    </row>
    <row r="118" spans="1:15" x14ac:dyDescent="0.3">
      <c r="A118" t="s">
        <v>2277</v>
      </c>
      <c r="B118" t="s">
        <v>1824</v>
      </c>
      <c r="C118" t="s">
        <v>1825</v>
      </c>
      <c r="D118">
        <v>0</v>
      </c>
      <c r="E118" t="s">
        <v>1447</v>
      </c>
      <c r="F118" t="s">
        <v>1825</v>
      </c>
      <c r="G118" t="s">
        <v>1759</v>
      </c>
      <c r="H118" t="s">
        <v>2279</v>
      </c>
      <c r="I118" t="s">
        <v>2279</v>
      </c>
      <c r="J118" t="s">
        <v>2279</v>
      </c>
      <c r="K118" t="s">
        <v>2279</v>
      </c>
      <c r="L118" t="s">
        <v>1419</v>
      </c>
      <c r="M118" t="s">
        <v>2279</v>
      </c>
      <c r="N118" t="s">
        <v>2279</v>
      </c>
      <c r="O118" s="190" t="str">
        <f t="shared" si="1"/>
        <v>[AdditionalNationalLegislation][0][AdditionalNationalLegislation]</v>
      </c>
    </row>
    <row r="119" spans="1:15" x14ac:dyDescent="0.3">
      <c r="A119" t="s">
        <v>2277</v>
      </c>
      <c r="B119" t="s">
        <v>1824</v>
      </c>
      <c r="C119" t="s">
        <v>1826</v>
      </c>
      <c r="D119">
        <v>0</v>
      </c>
      <c r="E119" t="s">
        <v>1447</v>
      </c>
      <c r="F119" t="s">
        <v>1826</v>
      </c>
      <c r="G119" t="s">
        <v>1741</v>
      </c>
      <c r="H119" t="s">
        <v>2313</v>
      </c>
      <c r="I119" t="s">
        <v>2279</v>
      </c>
      <c r="J119" t="s">
        <v>2279</v>
      </c>
      <c r="K119" t="s">
        <v>2279</v>
      </c>
      <c r="L119" t="s">
        <v>2279</v>
      </c>
      <c r="M119" t="s">
        <v>2279</v>
      </c>
      <c r="N119" t="s">
        <v>2279</v>
      </c>
      <c r="O119" s="190" t="str">
        <f t="shared" si="1"/>
        <v>[AdditionalNationalLegislationDetail][0][AdditionalNationalLegislationDetail]</v>
      </c>
    </row>
    <row r="120" spans="1:15" x14ac:dyDescent="0.3">
      <c r="A120" t="s">
        <v>2277</v>
      </c>
      <c r="B120" t="s">
        <v>1824</v>
      </c>
      <c r="C120" t="s">
        <v>1827</v>
      </c>
      <c r="D120">
        <v>0</v>
      </c>
      <c r="E120" t="s">
        <v>1447</v>
      </c>
      <c r="F120" t="s">
        <v>1827</v>
      </c>
      <c r="G120" t="s">
        <v>1759</v>
      </c>
      <c r="H120" t="s">
        <v>2279</v>
      </c>
      <c r="I120" t="s">
        <v>2279</v>
      </c>
      <c r="J120" t="s">
        <v>2279</v>
      </c>
      <c r="K120" t="s">
        <v>2279</v>
      </c>
      <c r="L120" t="s">
        <v>1447</v>
      </c>
      <c r="M120" t="s">
        <v>2279</v>
      </c>
      <c r="N120" t="s">
        <v>2279</v>
      </c>
      <c r="O120" s="190" t="str">
        <f t="shared" si="1"/>
        <v>[AdditionalNationalGuidance][0][AdditionalNationalGuidance]</v>
      </c>
    </row>
    <row r="121" spans="1:15" x14ac:dyDescent="0.3">
      <c r="A121" t="s">
        <v>2277</v>
      </c>
      <c r="B121" t="s">
        <v>1833</v>
      </c>
      <c r="C121" t="s">
        <v>1834</v>
      </c>
      <c r="D121">
        <v>0</v>
      </c>
      <c r="E121" t="s">
        <v>1447</v>
      </c>
      <c r="F121" t="s">
        <v>1834</v>
      </c>
      <c r="G121" t="s">
        <v>1759</v>
      </c>
      <c r="H121" t="s">
        <v>2279</v>
      </c>
      <c r="I121" t="s">
        <v>2279</v>
      </c>
      <c r="J121" t="s">
        <v>2279</v>
      </c>
      <c r="K121" t="s">
        <v>2279</v>
      </c>
      <c r="L121" t="s">
        <v>1419</v>
      </c>
      <c r="M121" t="s">
        <v>2279</v>
      </c>
      <c r="N121" t="s">
        <v>2279</v>
      </c>
      <c r="O121" s="190" t="str">
        <f t="shared" si="1"/>
        <v>[CommissionTemplatesMRR][0][CommissionTemplatesMRR]</v>
      </c>
    </row>
    <row r="122" spans="1:15" x14ac:dyDescent="0.3">
      <c r="A122" t="s">
        <v>2277</v>
      </c>
      <c r="B122" t="s">
        <v>1840</v>
      </c>
      <c r="C122" t="s">
        <v>1841</v>
      </c>
      <c r="D122">
        <v>0</v>
      </c>
      <c r="E122" t="s">
        <v>1447</v>
      </c>
      <c r="F122" t="s">
        <v>1841</v>
      </c>
      <c r="G122" t="s">
        <v>1759</v>
      </c>
      <c r="H122" t="s">
        <v>2279</v>
      </c>
      <c r="I122" t="s">
        <v>2279</v>
      </c>
      <c r="J122" t="s">
        <v>2279</v>
      </c>
      <c r="K122" t="s">
        <v>2279</v>
      </c>
      <c r="L122" t="s">
        <v>1447</v>
      </c>
      <c r="M122" t="s">
        <v>2279</v>
      </c>
      <c r="N122" t="s">
        <v>2279</v>
      </c>
      <c r="O122" s="190" t="str">
        <f t="shared" si="1"/>
        <v>[AutomatedSystemInformationExchange][0][AutomatedSystemInformationExchange]</v>
      </c>
    </row>
    <row r="123" spans="1:15" x14ac:dyDescent="0.3">
      <c r="A123" t="s">
        <v>2277</v>
      </c>
      <c r="B123" t="s">
        <v>1843</v>
      </c>
      <c r="C123" t="s">
        <v>1844</v>
      </c>
      <c r="D123">
        <v>1</v>
      </c>
      <c r="E123" t="s">
        <v>1447</v>
      </c>
      <c r="F123" t="s">
        <v>1845</v>
      </c>
      <c r="G123" t="s">
        <v>1806</v>
      </c>
      <c r="H123" t="s">
        <v>2279</v>
      </c>
      <c r="I123" t="s">
        <v>2279</v>
      </c>
      <c r="J123">
        <v>12425.228608062</v>
      </c>
      <c r="K123" t="s">
        <v>2279</v>
      </c>
      <c r="L123" t="s">
        <v>2279</v>
      </c>
      <c r="M123" t="s">
        <v>2279</v>
      </c>
      <c r="N123" t="s">
        <v>2279</v>
      </c>
      <c r="O123" s="190" t="str">
        <f t="shared" si="1"/>
        <v>[S05_InstallationFuelConsEmissions][1][FuelConsumption]</v>
      </c>
    </row>
    <row r="124" spans="1:15" x14ac:dyDescent="0.3">
      <c r="A124" t="s">
        <v>2277</v>
      </c>
      <c r="B124" t="s">
        <v>1843</v>
      </c>
      <c r="C124" t="s">
        <v>1844</v>
      </c>
      <c r="D124">
        <v>2</v>
      </c>
      <c r="E124" t="s">
        <v>1447</v>
      </c>
      <c r="F124" t="s">
        <v>1845</v>
      </c>
      <c r="G124" t="s">
        <v>1806</v>
      </c>
      <c r="H124" t="s">
        <v>2279</v>
      </c>
      <c r="I124" t="s">
        <v>2279</v>
      </c>
      <c r="J124">
        <v>180181.99726264901</v>
      </c>
      <c r="K124" t="s">
        <v>2279</v>
      </c>
      <c r="L124" t="s">
        <v>2279</v>
      </c>
      <c r="M124" t="s">
        <v>2279</v>
      </c>
      <c r="N124" t="s">
        <v>2279</v>
      </c>
      <c r="O124" s="190" t="str">
        <f t="shared" si="1"/>
        <v>[S05_InstallationFuelConsEmissions][2][FuelConsumption]</v>
      </c>
    </row>
    <row r="125" spans="1:15" x14ac:dyDescent="0.3">
      <c r="A125" t="s">
        <v>2277</v>
      </c>
      <c r="B125" t="s">
        <v>1843</v>
      </c>
      <c r="C125" t="s">
        <v>1844</v>
      </c>
      <c r="D125">
        <v>3</v>
      </c>
      <c r="E125" t="s">
        <v>1447</v>
      </c>
      <c r="F125" t="s">
        <v>1845</v>
      </c>
      <c r="G125" t="s">
        <v>1806</v>
      </c>
      <c r="H125" t="s">
        <v>2279</v>
      </c>
      <c r="I125" t="s">
        <v>2279</v>
      </c>
      <c r="J125">
        <v>0</v>
      </c>
      <c r="K125" t="s">
        <v>2279</v>
      </c>
      <c r="L125" t="s">
        <v>2279</v>
      </c>
      <c r="M125" t="s">
        <v>2279</v>
      </c>
      <c r="N125" t="s">
        <v>2279</v>
      </c>
      <c r="O125" s="190" t="str">
        <f t="shared" si="1"/>
        <v>[S05_InstallationFuelConsEmissions][3][FuelConsumption]</v>
      </c>
    </row>
    <row r="126" spans="1:15" x14ac:dyDescent="0.3">
      <c r="A126" t="s">
        <v>2277</v>
      </c>
      <c r="B126" t="s">
        <v>1843</v>
      </c>
      <c r="C126" t="s">
        <v>1844</v>
      </c>
      <c r="D126">
        <v>4</v>
      </c>
      <c r="E126" t="s">
        <v>1447</v>
      </c>
      <c r="F126" t="s">
        <v>1845</v>
      </c>
      <c r="G126" t="s">
        <v>1806</v>
      </c>
      <c r="H126" t="s">
        <v>2279</v>
      </c>
      <c r="I126" t="s">
        <v>2279</v>
      </c>
      <c r="J126">
        <v>10055.414531028</v>
      </c>
      <c r="K126" t="s">
        <v>2279</v>
      </c>
      <c r="L126" t="s">
        <v>2279</v>
      </c>
      <c r="M126" t="s">
        <v>2279</v>
      </c>
      <c r="N126" t="s">
        <v>2279</v>
      </c>
      <c r="O126" s="190" t="str">
        <f t="shared" si="1"/>
        <v>[S05_InstallationFuelConsEmissions][4][FuelConsumption]</v>
      </c>
    </row>
    <row r="127" spans="1:15" x14ac:dyDescent="0.3">
      <c r="A127" t="s">
        <v>2277</v>
      </c>
      <c r="B127" t="s">
        <v>1843</v>
      </c>
      <c r="C127" t="s">
        <v>1844</v>
      </c>
      <c r="D127">
        <v>5</v>
      </c>
      <c r="E127" t="s">
        <v>1447</v>
      </c>
      <c r="F127" t="s">
        <v>1845</v>
      </c>
      <c r="G127" t="s">
        <v>1806</v>
      </c>
      <c r="H127" t="s">
        <v>2279</v>
      </c>
      <c r="I127" t="s">
        <v>2279</v>
      </c>
      <c r="J127">
        <v>73600.407877354402</v>
      </c>
      <c r="K127" t="s">
        <v>2279</v>
      </c>
      <c r="L127" t="s">
        <v>2279</v>
      </c>
      <c r="M127" t="s">
        <v>2279</v>
      </c>
      <c r="N127" t="s">
        <v>2279</v>
      </c>
      <c r="O127" s="190" t="str">
        <f t="shared" si="1"/>
        <v>[S05_InstallationFuelConsEmissions][5][FuelConsumption]</v>
      </c>
    </row>
    <row r="128" spans="1:15" x14ac:dyDescent="0.3">
      <c r="A128" t="s">
        <v>2277</v>
      </c>
      <c r="B128" t="s">
        <v>1843</v>
      </c>
      <c r="C128" t="s">
        <v>1844</v>
      </c>
      <c r="D128">
        <v>6</v>
      </c>
      <c r="E128" t="s">
        <v>1447</v>
      </c>
      <c r="F128" t="s">
        <v>1845</v>
      </c>
      <c r="G128" t="s">
        <v>1806</v>
      </c>
      <c r="H128" t="s">
        <v>2279</v>
      </c>
      <c r="I128" t="s">
        <v>2279</v>
      </c>
      <c r="J128">
        <v>0</v>
      </c>
      <c r="K128" t="s">
        <v>2279</v>
      </c>
      <c r="L128" t="s">
        <v>2279</v>
      </c>
      <c r="M128" t="s">
        <v>2279</v>
      </c>
      <c r="N128" t="s">
        <v>2279</v>
      </c>
      <c r="O128" s="190" t="str">
        <f t="shared" si="1"/>
        <v>[S05_InstallationFuelConsEmissions][6][FuelConsumption]</v>
      </c>
    </row>
    <row r="129" spans="1:15" x14ac:dyDescent="0.3">
      <c r="A129" t="s">
        <v>2277</v>
      </c>
      <c r="B129" t="s">
        <v>1843</v>
      </c>
      <c r="C129" t="s">
        <v>1844</v>
      </c>
      <c r="D129">
        <v>7</v>
      </c>
      <c r="E129" t="s">
        <v>1447</v>
      </c>
      <c r="F129" t="s">
        <v>1845</v>
      </c>
      <c r="G129" t="s">
        <v>1806</v>
      </c>
      <c r="H129" t="s">
        <v>2279</v>
      </c>
      <c r="I129" t="s">
        <v>2279</v>
      </c>
      <c r="J129">
        <v>0</v>
      </c>
      <c r="K129" t="s">
        <v>2279</v>
      </c>
      <c r="L129" t="s">
        <v>2279</v>
      </c>
      <c r="M129" t="s">
        <v>2279</v>
      </c>
      <c r="N129" t="s">
        <v>2279</v>
      </c>
      <c r="O129" s="190" t="str">
        <f t="shared" si="1"/>
        <v>[S05_InstallationFuelConsEmissions][7][FuelConsumption]</v>
      </c>
    </row>
    <row r="130" spans="1:15" x14ac:dyDescent="0.3">
      <c r="A130" t="s">
        <v>2277</v>
      </c>
      <c r="B130" t="s">
        <v>1843</v>
      </c>
      <c r="C130" t="s">
        <v>1844</v>
      </c>
      <c r="D130">
        <v>8</v>
      </c>
      <c r="E130" t="s">
        <v>1447</v>
      </c>
      <c r="F130" t="s">
        <v>1845</v>
      </c>
      <c r="G130" t="s">
        <v>1806</v>
      </c>
      <c r="H130" t="s">
        <v>2279</v>
      </c>
      <c r="I130" t="s">
        <v>2279</v>
      </c>
      <c r="J130">
        <v>14629.268840242999</v>
      </c>
      <c r="K130" t="s">
        <v>2279</v>
      </c>
      <c r="L130" t="s">
        <v>2279</v>
      </c>
      <c r="M130" t="s">
        <v>2279</v>
      </c>
      <c r="N130" t="s">
        <v>2279</v>
      </c>
      <c r="O130" s="190" t="str">
        <f t="shared" ref="O130:O193" si="2">"["&amp;$C130&amp;"]["&amp;$D130&amp;"]["&amp;$F130&amp;"]"</f>
        <v>[S05_InstallationFuelConsEmissions][8][FuelConsumption]</v>
      </c>
    </row>
    <row r="131" spans="1:15" x14ac:dyDescent="0.3">
      <c r="A131" t="s">
        <v>2277</v>
      </c>
      <c r="B131" t="s">
        <v>1843</v>
      </c>
      <c r="C131" t="s">
        <v>1844</v>
      </c>
      <c r="D131">
        <v>9</v>
      </c>
      <c r="E131" t="s">
        <v>1447</v>
      </c>
      <c r="F131" t="s">
        <v>1845</v>
      </c>
      <c r="G131" t="s">
        <v>1806</v>
      </c>
      <c r="H131" t="s">
        <v>2279</v>
      </c>
      <c r="I131" t="s">
        <v>2279</v>
      </c>
      <c r="J131">
        <v>1535.680554</v>
      </c>
      <c r="K131" t="s">
        <v>2279</v>
      </c>
      <c r="L131" t="s">
        <v>2279</v>
      </c>
      <c r="M131" t="s">
        <v>2279</v>
      </c>
      <c r="N131" t="s">
        <v>2279</v>
      </c>
      <c r="O131" s="190" t="str">
        <f t="shared" si="2"/>
        <v>[S05_InstallationFuelConsEmissions][9][FuelConsumption]</v>
      </c>
    </row>
    <row r="132" spans="1:15" x14ac:dyDescent="0.3">
      <c r="A132" t="s">
        <v>2277</v>
      </c>
      <c r="B132" t="s">
        <v>1843</v>
      </c>
      <c r="C132" t="s">
        <v>1844</v>
      </c>
      <c r="D132">
        <v>10</v>
      </c>
      <c r="E132" t="s">
        <v>1447</v>
      </c>
      <c r="F132" t="s">
        <v>1845</v>
      </c>
      <c r="G132" t="s">
        <v>1806</v>
      </c>
      <c r="H132" t="s">
        <v>2279</v>
      </c>
      <c r="I132" t="s">
        <v>2279</v>
      </c>
      <c r="J132">
        <v>0</v>
      </c>
      <c r="K132" t="s">
        <v>2279</v>
      </c>
      <c r="L132" t="s">
        <v>2279</v>
      </c>
      <c r="M132" t="s">
        <v>2279</v>
      </c>
      <c r="N132" t="s">
        <v>2279</v>
      </c>
      <c r="O132" s="190" t="str">
        <f t="shared" si="2"/>
        <v>[S05_InstallationFuelConsEmissions][10][FuelConsumption]</v>
      </c>
    </row>
    <row r="133" spans="1:15" x14ac:dyDescent="0.3">
      <c r="A133" t="s">
        <v>2277</v>
      </c>
      <c r="B133" t="s">
        <v>1846</v>
      </c>
      <c r="C133" t="s">
        <v>1844</v>
      </c>
      <c r="D133">
        <v>11</v>
      </c>
      <c r="E133" t="s">
        <v>1447</v>
      </c>
      <c r="F133" t="s">
        <v>1845</v>
      </c>
      <c r="G133" t="s">
        <v>1806</v>
      </c>
      <c r="H133" t="s">
        <v>2279</v>
      </c>
      <c r="I133" t="s">
        <v>2279</v>
      </c>
      <c r="J133">
        <v>8.6177737000000008</v>
      </c>
      <c r="K133" t="s">
        <v>2279</v>
      </c>
      <c r="L133" t="s">
        <v>2279</v>
      </c>
      <c r="M133" t="s">
        <v>2279</v>
      </c>
      <c r="N133" t="s">
        <v>2279</v>
      </c>
      <c r="O133" s="190" t="str">
        <f t="shared" si="2"/>
        <v>[S05_InstallationFuelConsEmissions][11][FuelConsumption]</v>
      </c>
    </row>
    <row r="134" spans="1:15" x14ac:dyDescent="0.3">
      <c r="A134" t="s">
        <v>2277</v>
      </c>
      <c r="B134" t="s">
        <v>1847</v>
      </c>
      <c r="C134" t="s">
        <v>1844</v>
      </c>
      <c r="D134">
        <v>12</v>
      </c>
      <c r="E134" t="s">
        <v>1447</v>
      </c>
      <c r="F134" t="s">
        <v>1845</v>
      </c>
      <c r="G134" t="s">
        <v>1806</v>
      </c>
      <c r="H134" t="s">
        <v>2279</v>
      </c>
      <c r="I134" t="s">
        <v>2279</v>
      </c>
      <c r="J134">
        <v>246.98982959948</v>
      </c>
      <c r="K134" t="s">
        <v>2279</v>
      </c>
      <c r="L134" t="s">
        <v>2279</v>
      </c>
      <c r="M134" t="s">
        <v>2279</v>
      </c>
      <c r="N134" t="s">
        <v>2279</v>
      </c>
      <c r="O134" s="190" t="str">
        <f t="shared" si="2"/>
        <v>[S05_InstallationFuelConsEmissions][12][FuelConsumption]</v>
      </c>
    </row>
    <row r="135" spans="1:15" x14ac:dyDescent="0.3">
      <c r="A135" t="s">
        <v>2277</v>
      </c>
      <c r="B135" t="s">
        <v>1843</v>
      </c>
      <c r="C135" t="s">
        <v>1844</v>
      </c>
      <c r="D135">
        <v>1</v>
      </c>
      <c r="E135" t="s">
        <v>1447</v>
      </c>
      <c r="F135" t="s">
        <v>1848</v>
      </c>
      <c r="G135" t="s">
        <v>1806</v>
      </c>
      <c r="H135" t="s">
        <v>2279</v>
      </c>
      <c r="I135" t="s">
        <v>2279</v>
      </c>
      <c r="J135">
        <v>1148932</v>
      </c>
      <c r="K135" t="s">
        <v>2279</v>
      </c>
      <c r="L135" t="s">
        <v>2279</v>
      </c>
      <c r="M135" t="s">
        <v>2279</v>
      </c>
      <c r="N135" t="s">
        <v>2279</v>
      </c>
      <c r="O135" s="190" t="str">
        <f t="shared" si="2"/>
        <v>[S05_InstallationFuelConsEmissions][1][FuelAnnualEmissions]</v>
      </c>
    </row>
    <row r="136" spans="1:15" x14ac:dyDescent="0.3">
      <c r="A136" t="s">
        <v>2277</v>
      </c>
      <c r="B136" t="s">
        <v>1843</v>
      </c>
      <c r="C136" t="s">
        <v>1844</v>
      </c>
      <c r="D136">
        <v>2</v>
      </c>
      <c r="E136" t="s">
        <v>1447</v>
      </c>
      <c r="F136" t="s">
        <v>1848</v>
      </c>
      <c r="G136" t="s">
        <v>1806</v>
      </c>
      <c r="H136" t="s">
        <v>2279</v>
      </c>
      <c r="I136" t="s">
        <v>2279</v>
      </c>
      <c r="J136">
        <v>18033224.440000001</v>
      </c>
      <c r="K136" t="s">
        <v>2279</v>
      </c>
      <c r="L136" t="s">
        <v>2279</v>
      </c>
      <c r="M136" t="s">
        <v>2279</v>
      </c>
      <c r="N136" t="s">
        <v>2279</v>
      </c>
      <c r="O136" s="190" t="str">
        <f t="shared" si="2"/>
        <v>[S05_InstallationFuelConsEmissions][2][FuelAnnualEmissions]</v>
      </c>
    </row>
    <row r="137" spans="1:15" x14ac:dyDescent="0.3">
      <c r="A137" t="s">
        <v>2277</v>
      </c>
      <c r="B137" t="s">
        <v>1843</v>
      </c>
      <c r="C137" t="s">
        <v>1844</v>
      </c>
      <c r="D137">
        <v>3</v>
      </c>
      <c r="E137" t="s">
        <v>1447</v>
      </c>
      <c r="F137" t="s">
        <v>1848</v>
      </c>
      <c r="G137" t="s">
        <v>1806</v>
      </c>
      <c r="H137" t="s">
        <v>2279</v>
      </c>
      <c r="I137" t="s">
        <v>2279</v>
      </c>
      <c r="J137">
        <v>0</v>
      </c>
      <c r="K137" t="s">
        <v>2279</v>
      </c>
      <c r="L137" t="s">
        <v>2279</v>
      </c>
      <c r="M137" t="s">
        <v>2279</v>
      </c>
      <c r="N137" t="s">
        <v>2279</v>
      </c>
      <c r="O137" s="190" t="str">
        <f t="shared" si="2"/>
        <v>[S05_InstallationFuelConsEmissions][3][FuelAnnualEmissions]</v>
      </c>
    </row>
    <row r="138" spans="1:15" x14ac:dyDescent="0.3">
      <c r="A138" t="s">
        <v>2277</v>
      </c>
      <c r="B138" t="s">
        <v>1843</v>
      </c>
      <c r="C138" t="s">
        <v>1844</v>
      </c>
      <c r="D138">
        <v>4</v>
      </c>
      <c r="E138" t="s">
        <v>1447</v>
      </c>
      <c r="F138" t="s">
        <v>1848</v>
      </c>
      <c r="G138" t="s">
        <v>1806</v>
      </c>
      <c r="H138" t="s">
        <v>2279</v>
      </c>
      <c r="I138" t="s">
        <v>2279</v>
      </c>
      <c r="J138">
        <v>946841.86499999999</v>
      </c>
      <c r="K138" t="s">
        <v>2279</v>
      </c>
      <c r="L138" t="s">
        <v>2279</v>
      </c>
      <c r="M138" t="s">
        <v>2279</v>
      </c>
      <c r="N138" t="s">
        <v>2279</v>
      </c>
      <c r="O138" s="190" t="str">
        <f t="shared" si="2"/>
        <v>[S05_InstallationFuelConsEmissions][4][FuelAnnualEmissions]</v>
      </c>
    </row>
    <row r="139" spans="1:15" x14ac:dyDescent="0.3">
      <c r="A139" t="s">
        <v>2277</v>
      </c>
      <c r="B139" t="s">
        <v>1843</v>
      </c>
      <c r="C139" t="s">
        <v>1844</v>
      </c>
      <c r="D139">
        <v>5</v>
      </c>
      <c r="E139" t="s">
        <v>1447</v>
      </c>
      <c r="F139" t="s">
        <v>1848</v>
      </c>
      <c r="G139" t="s">
        <v>1806</v>
      </c>
      <c r="H139" t="s">
        <v>2279</v>
      </c>
      <c r="I139" t="s">
        <v>2279</v>
      </c>
      <c r="J139">
        <v>4162208</v>
      </c>
      <c r="K139" t="s">
        <v>2279</v>
      </c>
      <c r="L139" t="s">
        <v>2279</v>
      </c>
      <c r="M139" t="s">
        <v>2279</v>
      </c>
      <c r="N139" t="s">
        <v>2279</v>
      </c>
      <c r="O139" s="190" t="str">
        <f t="shared" si="2"/>
        <v>[S05_InstallationFuelConsEmissions][5][FuelAnnualEmissions]</v>
      </c>
    </row>
    <row r="140" spans="1:15" x14ac:dyDescent="0.3">
      <c r="A140" t="s">
        <v>2277</v>
      </c>
      <c r="B140" t="s">
        <v>1843</v>
      </c>
      <c r="C140" t="s">
        <v>1844</v>
      </c>
      <c r="D140">
        <v>6</v>
      </c>
      <c r="E140" t="s">
        <v>1447</v>
      </c>
      <c r="F140" t="s">
        <v>1848</v>
      </c>
      <c r="G140" t="s">
        <v>1806</v>
      </c>
      <c r="H140" t="s">
        <v>2279</v>
      </c>
      <c r="I140" t="s">
        <v>2279</v>
      </c>
      <c r="J140">
        <v>0</v>
      </c>
      <c r="K140" t="s">
        <v>2279</v>
      </c>
      <c r="L140" t="s">
        <v>2279</v>
      </c>
      <c r="M140" t="s">
        <v>2279</v>
      </c>
      <c r="N140" t="s">
        <v>2279</v>
      </c>
      <c r="O140" s="190" t="str">
        <f t="shared" si="2"/>
        <v>[S05_InstallationFuelConsEmissions][6][FuelAnnualEmissions]</v>
      </c>
    </row>
    <row r="141" spans="1:15" x14ac:dyDescent="0.3">
      <c r="A141" t="s">
        <v>2277</v>
      </c>
      <c r="B141" t="s">
        <v>1843</v>
      </c>
      <c r="C141" t="s">
        <v>1844</v>
      </c>
      <c r="D141">
        <v>7</v>
      </c>
      <c r="E141" t="s">
        <v>1447</v>
      </c>
      <c r="F141" t="s">
        <v>1848</v>
      </c>
      <c r="G141" t="s">
        <v>1806</v>
      </c>
      <c r="H141" t="s">
        <v>2279</v>
      </c>
      <c r="I141" t="s">
        <v>2279</v>
      </c>
      <c r="J141">
        <v>0</v>
      </c>
      <c r="K141" t="s">
        <v>2279</v>
      </c>
      <c r="L141" t="s">
        <v>2279</v>
      </c>
      <c r="M141" t="s">
        <v>2279</v>
      </c>
      <c r="N141" t="s">
        <v>2279</v>
      </c>
      <c r="O141" s="190" t="str">
        <f t="shared" si="2"/>
        <v>[S05_InstallationFuelConsEmissions][7][FuelAnnualEmissions]</v>
      </c>
    </row>
    <row r="142" spans="1:15" x14ac:dyDescent="0.3">
      <c r="A142" t="s">
        <v>2277</v>
      </c>
      <c r="B142" t="s">
        <v>1843</v>
      </c>
      <c r="C142" t="s">
        <v>1844</v>
      </c>
      <c r="D142">
        <v>8</v>
      </c>
      <c r="E142" t="s">
        <v>1447</v>
      </c>
      <c r="F142" t="s">
        <v>1848</v>
      </c>
      <c r="G142" t="s">
        <v>1806</v>
      </c>
      <c r="H142" t="s">
        <v>2279</v>
      </c>
      <c r="I142" t="s">
        <v>2279</v>
      </c>
      <c r="J142">
        <v>843962.2</v>
      </c>
      <c r="K142" t="s">
        <v>2279</v>
      </c>
      <c r="L142" t="s">
        <v>2279</v>
      </c>
      <c r="M142" t="s">
        <v>2279</v>
      </c>
      <c r="N142" t="s">
        <v>2279</v>
      </c>
      <c r="O142" s="190" t="str">
        <f t="shared" si="2"/>
        <v>[S05_InstallationFuelConsEmissions][8][FuelAnnualEmissions]</v>
      </c>
    </row>
    <row r="143" spans="1:15" x14ac:dyDescent="0.3">
      <c r="A143" t="s">
        <v>2277</v>
      </c>
      <c r="B143" t="s">
        <v>1843</v>
      </c>
      <c r="C143" t="s">
        <v>1844</v>
      </c>
      <c r="D143">
        <v>9</v>
      </c>
      <c r="E143" t="s">
        <v>1447</v>
      </c>
      <c r="F143" t="s">
        <v>1848</v>
      </c>
      <c r="G143" t="s">
        <v>1806</v>
      </c>
      <c r="H143" t="s">
        <v>2279</v>
      </c>
      <c r="I143" t="s">
        <v>2279</v>
      </c>
      <c r="J143">
        <v>118862.803</v>
      </c>
      <c r="K143" t="s">
        <v>2279</v>
      </c>
      <c r="L143" t="s">
        <v>2279</v>
      </c>
      <c r="M143" t="s">
        <v>2279</v>
      </c>
      <c r="N143" t="s">
        <v>2279</v>
      </c>
      <c r="O143" s="190" t="str">
        <f t="shared" si="2"/>
        <v>[S05_InstallationFuelConsEmissions][9][FuelAnnualEmissions]</v>
      </c>
    </row>
    <row r="144" spans="1:15" x14ac:dyDescent="0.3">
      <c r="A144" t="s">
        <v>2277</v>
      </c>
      <c r="B144" t="s">
        <v>1843</v>
      </c>
      <c r="C144" t="s">
        <v>1844</v>
      </c>
      <c r="D144">
        <v>10</v>
      </c>
      <c r="E144" t="s">
        <v>1447</v>
      </c>
      <c r="F144" t="s">
        <v>1848</v>
      </c>
      <c r="G144" t="s">
        <v>1806</v>
      </c>
      <c r="H144" t="s">
        <v>2279</v>
      </c>
      <c r="I144" t="s">
        <v>2279</v>
      </c>
      <c r="J144">
        <v>0</v>
      </c>
      <c r="K144" t="s">
        <v>2279</v>
      </c>
      <c r="L144" t="s">
        <v>2279</v>
      </c>
      <c r="M144" t="s">
        <v>2279</v>
      </c>
      <c r="N144" t="s">
        <v>2279</v>
      </c>
      <c r="O144" s="190" t="str">
        <f t="shared" si="2"/>
        <v>[S05_InstallationFuelConsEmissions][10][FuelAnnualEmissions]</v>
      </c>
    </row>
    <row r="145" spans="1:15" x14ac:dyDescent="0.3">
      <c r="A145" t="s">
        <v>2277</v>
      </c>
      <c r="B145" t="s">
        <v>1843</v>
      </c>
      <c r="C145" t="s">
        <v>1844</v>
      </c>
      <c r="D145">
        <v>11</v>
      </c>
      <c r="E145" t="s">
        <v>1447</v>
      </c>
      <c r="F145" t="s">
        <v>1848</v>
      </c>
      <c r="G145" t="s">
        <v>1806</v>
      </c>
      <c r="H145" t="s">
        <v>2279</v>
      </c>
      <c r="I145" t="s">
        <v>2279</v>
      </c>
      <c r="J145">
        <v>807.5</v>
      </c>
      <c r="K145" t="s">
        <v>2279</v>
      </c>
      <c r="L145" t="s">
        <v>2279</v>
      </c>
      <c r="M145" t="s">
        <v>2279</v>
      </c>
      <c r="N145" t="s">
        <v>2279</v>
      </c>
      <c r="O145" s="190" t="str">
        <f t="shared" si="2"/>
        <v>[S05_InstallationFuelConsEmissions][11][FuelAnnualEmissions]</v>
      </c>
    </row>
    <row r="146" spans="1:15" x14ac:dyDescent="0.3">
      <c r="A146" t="s">
        <v>2277</v>
      </c>
      <c r="B146" t="s">
        <v>1843</v>
      </c>
      <c r="C146" t="s">
        <v>1844</v>
      </c>
      <c r="D146">
        <v>12</v>
      </c>
      <c r="E146" t="s">
        <v>1447</v>
      </c>
      <c r="F146" t="s">
        <v>1848</v>
      </c>
      <c r="G146" t="s">
        <v>1806</v>
      </c>
      <c r="H146" t="s">
        <v>2279</v>
      </c>
      <c r="I146" t="s">
        <v>2279</v>
      </c>
      <c r="J146">
        <v>18303.436000000002</v>
      </c>
      <c r="K146" t="s">
        <v>2279</v>
      </c>
      <c r="L146" t="s">
        <v>2279</v>
      </c>
      <c r="M146" t="s">
        <v>2279</v>
      </c>
      <c r="N146" t="s">
        <v>2279</v>
      </c>
      <c r="O146" s="190" t="str">
        <f t="shared" si="2"/>
        <v>[S05_InstallationFuelConsEmissions][12][FuelAnnualEmissions]</v>
      </c>
    </row>
    <row r="147" spans="1:15" x14ac:dyDescent="0.3">
      <c r="A147" t="s">
        <v>2277</v>
      </c>
      <c r="B147" t="s">
        <v>1846</v>
      </c>
      <c r="C147" t="s">
        <v>1849</v>
      </c>
      <c r="D147">
        <v>1</v>
      </c>
      <c r="E147" t="s">
        <v>1447</v>
      </c>
      <c r="F147" t="s">
        <v>1850</v>
      </c>
      <c r="G147" t="s">
        <v>1737</v>
      </c>
      <c r="H147" t="s">
        <v>2279</v>
      </c>
      <c r="I147" t="s">
        <v>2279</v>
      </c>
      <c r="J147" t="s">
        <v>2279</v>
      </c>
      <c r="K147" t="s">
        <v>2279</v>
      </c>
      <c r="L147" t="s">
        <v>1453</v>
      </c>
      <c r="M147" t="s">
        <v>2279</v>
      </c>
      <c r="N147" t="s">
        <v>2279</v>
      </c>
      <c r="O147" s="190" t="str">
        <f t="shared" si="2"/>
        <v>[S05_AggregateTotalEmissionsByCRF][1][CRFCategory1]</v>
      </c>
    </row>
    <row r="148" spans="1:15" x14ac:dyDescent="0.3">
      <c r="A148" t="s">
        <v>2277</v>
      </c>
      <c r="B148" t="s">
        <v>1846</v>
      </c>
      <c r="C148" t="s">
        <v>1849</v>
      </c>
      <c r="D148">
        <v>2</v>
      </c>
      <c r="E148" t="s">
        <v>1447</v>
      </c>
      <c r="F148" t="s">
        <v>1850</v>
      </c>
      <c r="G148" t="s">
        <v>1737</v>
      </c>
      <c r="H148" t="s">
        <v>2279</v>
      </c>
      <c r="I148" t="s">
        <v>2279</v>
      </c>
      <c r="J148" t="s">
        <v>2279</v>
      </c>
      <c r="K148" t="s">
        <v>2279</v>
      </c>
      <c r="L148" t="s">
        <v>1481</v>
      </c>
      <c r="M148" t="s">
        <v>2279</v>
      </c>
      <c r="N148" t="s">
        <v>2279</v>
      </c>
      <c r="O148" s="190" t="str">
        <f t="shared" si="2"/>
        <v>[S05_AggregateTotalEmissionsByCRF][2][CRFCategory1]</v>
      </c>
    </row>
    <row r="149" spans="1:15" x14ac:dyDescent="0.3">
      <c r="A149" t="s">
        <v>2277</v>
      </c>
      <c r="B149" t="s">
        <v>1846</v>
      </c>
      <c r="C149" t="s">
        <v>1849</v>
      </c>
      <c r="D149">
        <v>3</v>
      </c>
      <c r="E149" t="s">
        <v>1447</v>
      </c>
      <c r="F149" t="s">
        <v>1850</v>
      </c>
      <c r="G149" t="s">
        <v>1737</v>
      </c>
      <c r="H149" t="s">
        <v>2279</v>
      </c>
      <c r="I149" t="s">
        <v>2279</v>
      </c>
      <c r="J149" t="s">
        <v>2279</v>
      </c>
      <c r="K149" t="s">
        <v>2279</v>
      </c>
      <c r="L149" t="s">
        <v>1531</v>
      </c>
      <c r="M149" t="s">
        <v>2279</v>
      </c>
      <c r="N149" t="s">
        <v>2279</v>
      </c>
      <c r="O149" s="190" t="str">
        <f t="shared" si="2"/>
        <v>[S05_AggregateTotalEmissionsByCRF][3][CRFCategory1]</v>
      </c>
    </row>
    <row r="150" spans="1:15" x14ac:dyDescent="0.3">
      <c r="A150" t="s">
        <v>2277</v>
      </c>
      <c r="B150" t="s">
        <v>1846</v>
      </c>
      <c r="C150" t="s">
        <v>1849</v>
      </c>
      <c r="D150">
        <v>4</v>
      </c>
      <c r="E150" t="s">
        <v>1447</v>
      </c>
      <c r="F150" t="s">
        <v>1850</v>
      </c>
      <c r="G150" t="s">
        <v>1737</v>
      </c>
      <c r="H150" t="s">
        <v>2279</v>
      </c>
      <c r="I150" t="s">
        <v>2279</v>
      </c>
      <c r="J150" t="s">
        <v>2279</v>
      </c>
      <c r="K150" t="s">
        <v>2279</v>
      </c>
      <c r="L150" t="s">
        <v>1541</v>
      </c>
      <c r="M150" t="s">
        <v>2279</v>
      </c>
      <c r="N150" t="s">
        <v>2279</v>
      </c>
      <c r="O150" s="190" t="str">
        <f t="shared" si="2"/>
        <v>[S05_AggregateTotalEmissionsByCRF][4][CRFCategory1]</v>
      </c>
    </row>
    <row r="151" spans="1:15" x14ac:dyDescent="0.3">
      <c r="A151" t="s">
        <v>2277</v>
      </c>
      <c r="B151" t="s">
        <v>1846</v>
      </c>
      <c r="C151" t="s">
        <v>1849</v>
      </c>
      <c r="D151">
        <v>5</v>
      </c>
      <c r="E151" t="s">
        <v>1447</v>
      </c>
      <c r="F151" t="s">
        <v>1850</v>
      </c>
      <c r="G151" t="s">
        <v>1737</v>
      </c>
      <c r="H151" t="s">
        <v>2279</v>
      </c>
      <c r="I151" t="s">
        <v>2279</v>
      </c>
      <c r="J151" t="s">
        <v>2279</v>
      </c>
      <c r="K151" t="s">
        <v>2279</v>
      </c>
      <c r="L151" t="s">
        <v>1550</v>
      </c>
      <c r="M151" t="s">
        <v>2279</v>
      </c>
      <c r="N151" t="s">
        <v>2279</v>
      </c>
      <c r="O151" s="190" t="str">
        <f t="shared" si="2"/>
        <v>[S05_AggregateTotalEmissionsByCRF][5][CRFCategory1]</v>
      </c>
    </row>
    <row r="152" spans="1:15" x14ac:dyDescent="0.3">
      <c r="A152" t="s">
        <v>2277</v>
      </c>
      <c r="B152" t="s">
        <v>1846</v>
      </c>
      <c r="C152" t="s">
        <v>1849</v>
      </c>
      <c r="D152">
        <v>7</v>
      </c>
      <c r="E152" t="s">
        <v>1447</v>
      </c>
      <c r="F152" t="s">
        <v>1850</v>
      </c>
      <c r="G152" t="s">
        <v>1737</v>
      </c>
      <c r="H152" t="s">
        <v>2279</v>
      </c>
      <c r="I152" t="s">
        <v>2279</v>
      </c>
      <c r="J152" t="s">
        <v>2279</v>
      </c>
      <c r="K152" t="s">
        <v>2279</v>
      </c>
      <c r="L152" t="s">
        <v>1558</v>
      </c>
      <c r="M152" t="s">
        <v>2279</v>
      </c>
      <c r="N152" t="s">
        <v>2279</v>
      </c>
      <c r="O152" s="190" t="str">
        <f t="shared" si="2"/>
        <v>[S05_AggregateTotalEmissionsByCRF][7][CRFCategory1]</v>
      </c>
    </row>
    <row r="153" spans="1:15" x14ac:dyDescent="0.3">
      <c r="A153" t="s">
        <v>2277</v>
      </c>
      <c r="B153" t="s">
        <v>1846</v>
      </c>
      <c r="C153" t="s">
        <v>1849</v>
      </c>
      <c r="D153">
        <v>8</v>
      </c>
      <c r="E153" t="s">
        <v>1447</v>
      </c>
      <c r="F153" t="s">
        <v>1850</v>
      </c>
      <c r="G153" t="s">
        <v>1737</v>
      </c>
      <c r="H153" t="s">
        <v>2279</v>
      </c>
      <c r="I153" t="s">
        <v>2279</v>
      </c>
      <c r="J153" t="s">
        <v>2279</v>
      </c>
      <c r="K153" t="s">
        <v>2279</v>
      </c>
      <c r="L153" t="s">
        <v>1563</v>
      </c>
      <c r="M153" t="s">
        <v>2279</v>
      </c>
      <c r="N153" t="s">
        <v>2279</v>
      </c>
      <c r="O153" s="190" t="str">
        <f t="shared" si="2"/>
        <v>[S05_AggregateTotalEmissionsByCRF][8][CRFCategory1]</v>
      </c>
    </row>
    <row r="154" spans="1:15" x14ac:dyDescent="0.3">
      <c r="A154" t="s">
        <v>2277</v>
      </c>
      <c r="B154" t="s">
        <v>1846</v>
      </c>
      <c r="C154" t="s">
        <v>1849</v>
      </c>
      <c r="D154">
        <v>9</v>
      </c>
      <c r="E154" t="s">
        <v>1447</v>
      </c>
      <c r="F154" t="s">
        <v>1850</v>
      </c>
      <c r="G154" t="s">
        <v>1737</v>
      </c>
      <c r="H154" t="s">
        <v>2279</v>
      </c>
      <c r="I154" t="s">
        <v>2279</v>
      </c>
      <c r="J154" t="s">
        <v>2279</v>
      </c>
      <c r="K154" t="s">
        <v>2279</v>
      </c>
      <c r="L154" t="s">
        <v>1569</v>
      </c>
      <c r="M154" t="s">
        <v>2279</v>
      </c>
      <c r="N154" t="s">
        <v>2279</v>
      </c>
      <c r="O154" s="190" t="str">
        <f t="shared" si="2"/>
        <v>[S05_AggregateTotalEmissionsByCRF][9][CRFCategory1]</v>
      </c>
    </row>
    <row r="155" spans="1:15" x14ac:dyDescent="0.3">
      <c r="A155" t="s">
        <v>2277</v>
      </c>
      <c r="B155" t="s">
        <v>1846</v>
      </c>
      <c r="C155" t="s">
        <v>1849</v>
      </c>
      <c r="D155">
        <v>10</v>
      </c>
      <c r="E155" t="s">
        <v>1447</v>
      </c>
      <c r="F155" t="s">
        <v>1850</v>
      </c>
      <c r="G155" t="s">
        <v>1737</v>
      </c>
      <c r="H155" t="s">
        <v>2279</v>
      </c>
      <c r="I155" t="s">
        <v>2279</v>
      </c>
      <c r="J155" t="s">
        <v>2279</v>
      </c>
      <c r="K155" t="s">
        <v>2279</v>
      </c>
      <c r="L155" t="s">
        <v>1569</v>
      </c>
      <c r="M155" t="s">
        <v>2279</v>
      </c>
      <c r="N155" t="s">
        <v>2279</v>
      </c>
      <c r="O155" s="190" t="str">
        <f t="shared" si="2"/>
        <v>[S05_AggregateTotalEmissionsByCRF][10][CRFCategory1]</v>
      </c>
    </row>
    <row r="156" spans="1:15" x14ac:dyDescent="0.3">
      <c r="A156" t="s">
        <v>2277</v>
      </c>
      <c r="B156" t="s">
        <v>1846</v>
      </c>
      <c r="C156" t="s">
        <v>1849</v>
      </c>
      <c r="D156">
        <v>11</v>
      </c>
      <c r="E156" t="s">
        <v>1447</v>
      </c>
      <c r="F156" t="s">
        <v>1850</v>
      </c>
      <c r="G156" t="s">
        <v>1737</v>
      </c>
      <c r="H156" t="s">
        <v>2279</v>
      </c>
      <c r="I156" t="s">
        <v>2279</v>
      </c>
      <c r="J156" t="s">
        <v>2279</v>
      </c>
      <c r="K156" t="s">
        <v>2279</v>
      </c>
      <c r="L156" t="s">
        <v>1569</v>
      </c>
      <c r="M156" t="s">
        <v>2279</v>
      </c>
      <c r="N156" t="s">
        <v>2279</v>
      </c>
      <c r="O156" s="190" t="str">
        <f t="shared" si="2"/>
        <v>[S05_AggregateTotalEmissionsByCRF][11][CRFCategory1]</v>
      </c>
    </row>
    <row r="157" spans="1:15" x14ac:dyDescent="0.3">
      <c r="A157" t="s">
        <v>2277</v>
      </c>
      <c r="B157" t="s">
        <v>1846</v>
      </c>
      <c r="C157" t="s">
        <v>1849</v>
      </c>
      <c r="D157">
        <v>12</v>
      </c>
      <c r="E157" t="s">
        <v>1447</v>
      </c>
      <c r="F157" t="s">
        <v>1850</v>
      </c>
      <c r="G157" t="s">
        <v>1737</v>
      </c>
      <c r="H157" t="s">
        <v>2279</v>
      </c>
      <c r="I157" t="s">
        <v>2279</v>
      </c>
      <c r="J157" t="s">
        <v>2279</v>
      </c>
      <c r="K157" t="s">
        <v>2279</v>
      </c>
      <c r="L157" t="s">
        <v>1569</v>
      </c>
      <c r="M157" t="s">
        <v>2279</v>
      </c>
      <c r="N157" t="s">
        <v>2279</v>
      </c>
      <c r="O157" s="190" t="str">
        <f t="shared" si="2"/>
        <v>[S05_AggregateTotalEmissionsByCRF][12][CRFCategory1]</v>
      </c>
    </row>
    <row r="158" spans="1:15" x14ac:dyDescent="0.3">
      <c r="A158" t="s">
        <v>2277</v>
      </c>
      <c r="B158" t="s">
        <v>1846</v>
      </c>
      <c r="C158" t="s">
        <v>1849</v>
      </c>
      <c r="D158">
        <v>13</v>
      </c>
      <c r="E158" t="s">
        <v>1447</v>
      </c>
      <c r="F158" t="s">
        <v>1850</v>
      </c>
      <c r="G158" t="s">
        <v>1737</v>
      </c>
      <c r="H158" t="s">
        <v>2279</v>
      </c>
      <c r="I158" t="s">
        <v>2279</v>
      </c>
      <c r="J158" t="s">
        <v>2279</v>
      </c>
      <c r="K158" t="s">
        <v>2279</v>
      </c>
      <c r="L158" t="s">
        <v>1574</v>
      </c>
      <c r="M158" t="s">
        <v>2279</v>
      </c>
      <c r="N158" t="s">
        <v>2279</v>
      </c>
      <c r="O158" s="190" t="str">
        <f t="shared" si="2"/>
        <v>[S05_AggregateTotalEmissionsByCRF][13][CRFCategory1]</v>
      </c>
    </row>
    <row r="159" spans="1:15" x14ac:dyDescent="0.3">
      <c r="A159" t="s">
        <v>2277</v>
      </c>
      <c r="B159" t="s">
        <v>1846</v>
      </c>
      <c r="C159" t="s">
        <v>1849</v>
      </c>
      <c r="D159">
        <v>14</v>
      </c>
      <c r="E159" t="s">
        <v>1447</v>
      </c>
      <c r="F159" t="s">
        <v>1850</v>
      </c>
      <c r="G159" t="s">
        <v>1737</v>
      </c>
      <c r="H159" t="s">
        <v>2279</v>
      </c>
      <c r="I159" t="s">
        <v>2279</v>
      </c>
      <c r="J159" t="s">
        <v>2279</v>
      </c>
      <c r="K159" t="s">
        <v>2279</v>
      </c>
      <c r="L159" t="s">
        <v>1608</v>
      </c>
      <c r="M159" t="s">
        <v>2279</v>
      </c>
      <c r="N159" t="s">
        <v>2279</v>
      </c>
      <c r="O159" s="190" t="str">
        <f t="shared" si="2"/>
        <v>[S05_AggregateTotalEmissionsByCRF][14][CRFCategory1]</v>
      </c>
    </row>
    <row r="160" spans="1:15" x14ac:dyDescent="0.3">
      <c r="A160" t="s">
        <v>2277</v>
      </c>
      <c r="B160" t="s">
        <v>1846</v>
      </c>
      <c r="C160" t="s">
        <v>1849</v>
      </c>
      <c r="D160">
        <v>15</v>
      </c>
      <c r="E160" t="s">
        <v>1447</v>
      </c>
      <c r="F160" t="s">
        <v>1850</v>
      </c>
      <c r="G160" t="s">
        <v>1737</v>
      </c>
      <c r="H160" t="s">
        <v>2279</v>
      </c>
      <c r="I160" t="s">
        <v>2279</v>
      </c>
      <c r="J160" t="s">
        <v>2279</v>
      </c>
      <c r="K160" t="s">
        <v>2279</v>
      </c>
      <c r="L160" t="s">
        <v>1603</v>
      </c>
      <c r="M160" t="s">
        <v>2279</v>
      </c>
      <c r="N160" t="s">
        <v>2279</v>
      </c>
      <c r="O160" s="190" t="str">
        <f t="shared" si="2"/>
        <v>[S05_AggregateTotalEmissionsByCRF][15][CRFCategory1]</v>
      </c>
    </row>
    <row r="161" spans="1:15" x14ac:dyDescent="0.3">
      <c r="A161" t="s">
        <v>2277</v>
      </c>
      <c r="B161" t="s">
        <v>1846</v>
      </c>
      <c r="C161" t="s">
        <v>1849</v>
      </c>
      <c r="D161">
        <v>1</v>
      </c>
      <c r="E161" t="s">
        <v>1447</v>
      </c>
      <c r="F161" t="s">
        <v>1851</v>
      </c>
      <c r="G161" t="s">
        <v>1737</v>
      </c>
      <c r="H161" t="s">
        <v>2279</v>
      </c>
      <c r="I161" t="s">
        <v>2279</v>
      </c>
      <c r="J161" t="s">
        <v>2279</v>
      </c>
      <c r="K161" t="s">
        <v>2279</v>
      </c>
      <c r="L161" t="s">
        <v>1504</v>
      </c>
      <c r="M161" t="s">
        <v>2279</v>
      </c>
      <c r="N161" t="s">
        <v>2279</v>
      </c>
      <c r="O161" s="190" t="str">
        <f t="shared" si="2"/>
        <v>[S05_AggregateTotalEmissionsByCRF][1][CRFCategory2]</v>
      </c>
    </row>
    <row r="162" spans="1:15" x14ac:dyDescent="0.3">
      <c r="A162" t="s">
        <v>2277</v>
      </c>
      <c r="B162" t="s">
        <v>1846</v>
      </c>
      <c r="C162" t="s">
        <v>1849</v>
      </c>
      <c r="D162">
        <v>3</v>
      </c>
      <c r="E162" t="s">
        <v>1447</v>
      </c>
      <c r="F162" t="s">
        <v>1851</v>
      </c>
      <c r="G162" t="s">
        <v>1737</v>
      </c>
      <c r="H162" t="s">
        <v>2279</v>
      </c>
      <c r="I162" t="s">
        <v>2279</v>
      </c>
      <c r="J162" t="s">
        <v>2279</v>
      </c>
      <c r="K162" t="s">
        <v>2279</v>
      </c>
      <c r="L162" t="s">
        <v>1589</v>
      </c>
      <c r="M162" t="s">
        <v>2279</v>
      </c>
      <c r="N162" t="s">
        <v>2279</v>
      </c>
      <c r="O162" s="190" t="str">
        <f t="shared" si="2"/>
        <v>[S05_AggregateTotalEmissionsByCRF][3][CRFCategory2]</v>
      </c>
    </row>
    <row r="163" spans="1:15" x14ac:dyDescent="0.3">
      <c r="A163" t="s">
        <v>2277</v>
      </c>
      <c r="B163" t="s">
        <v>1846</v>
      </c>
      <c r="C163" t="s">
        <v>1849</v>
      </c>
      <c r="D163">
        <v>5</v>
      </c>
      <c r="E163" t="s">
        <v>1447</v>
      </c>
      <c r="F163" t="s">
        <v>1851</v>
      </c>
      <c r="G163" t="s">
        <v>1737</v>
      </c>
      <c r="H163" t="s">
        <v>2279</v>
      </c>
      <c r="I163" t="s">
        <v>2279</v>
      </c>
      <c r="J163" t="s">
        <v>2279</v>
      </c>
      <c r="K163" t="s">
        <v>2279</v>
      </c>
      <c r="L163" t="s">
        <v>1532</v>
      </c>
      <c r="M163" t="s">
        <v>2279</v>
      </c>
      <c r="N163" t="s">
        <v>2279</v>
      </c>
      <c r="O163" s="190" t="str">
        <f t="shared" si="2"/>
        <v>[S05_AggregateTotalEmissionsByCRF][5][CRFCategory2]</v>
      </c>
    </row>
    <row r="164" spans="1:15" x14ac:dyDescent="0.3">
      <c r="A164" t="s">
        <v>2277</v>
      </c>
      <c r="B164" t="s">
        <v>1846</v>
      </c>
      <c r="C164" t="s">
        <v>1849</v>
      </c>
      <c r="D164">
        <v>6</v>
      </c>
      <c r="E164" t="s">
        <v>1447</v>
      </c>
      <c r="F164" t="s">
        <v>1851</v>
      </c>
      <c r="G164" t="s">
        <v>1737</v>
      </c>
      <c r="H164" t="s">
        <v>2279</v>
      </c>
      <c r="I164" t="s">
        <v>2279</v>
      </c>
      <c r="J164" t="s">
        <v>2279</v>
      </c>
      <c r="K164" t="s">
        <v>2279</v>
      </c>
      <c r="L164" t="s">
        <v>1570</v>
      </c>
      <c r="M164" t="s">
        <v>2279</v>
      </c>
      <c r="N164" t="s">
        <v>2279</v>
      </c>
      <c r="O164" s="190" t="str">
        <f t="shared" si="2"/>
        <v>[S05_AggregateTotalEmissionsByCRF][6][CRFCategory2]</v>
      </c>
    </row>
    <row r="165" spans="1:15" x14ac:dyDescent="0.3">
      <c r="A165" t="s">
        <v>2277</v>
      </c>
      <c r="B165" t="s">
        <v>1846</v>
      </c>
      <c r="C165" t="s">
        <v>1849</v>
      </c>
      <c r="D165">
        <v>7</v>
      </c>
      <c r="E165" t="s">
        <v>1447</v>
      </c>
      <c r="F165" t="s">
        <v>1851</v>
      </c>
      <c r="G165" t="s">
        <v>1737</v>
      </c>
      <c r="H165" t="s">
        <v>2279</v>
      </c>
      <c r="I165" t="s">
        <v>2279</v>
      </c>
      <c r="J165" t="s">
        <v>2279</v>
      </c>
      <c r="K165" t="s">
        <v>2279</v>
      </c>
      <c r="L165" t="s">
        <v>1454</v>
      </c>
      <c r="M165" t="s">
        <v>2279</v>
      </c>
      <c r="N165" t="s">
        <v>2279</v>
      </c>
      <c r="O165" s="190" t="str">
        <f t="shared" si="2"/>
        <v>[S05_AggregateTotalEmissionsByCRF][7][CRFCategory2]</v>
      </c>
    </row>
    <row r="166" spans="1:15" x14ac:dyDescent="0.3">
      <c r="A166" t="s">
        <v>2277</v>
      </c>
      <c r="B166" t="s">
        <v>1846</v>
      </c>
      <c r="C166" t="s">
        <v>1849</v>
      </c>
      <c r="D166">
        <v>9</v>
      </c>
      <c r="E166" t="s">
        <v>1447</v>
      </c>
      <c r="F166" t="s">
        <v>1851</v>
      </c>
      <c r="G166" t="s">
        <v>1737</v>
      </c>
      <c r="H166" t="s">
        <v>2279</v>
      </c>
      <c r="I166" t="s">
        <v>2279</v>
      </c>
      <c r="J166" t="s">
        <v>2279</v>
      </c>
      <c r="K166" t="s">
        <v>2279</v>
      </c>
      <c r="L166" t="s">
        <v>1504</v>
      </c>
      <c r="M166" t="s">
        <v>2279</v>
      </c>
      <c r="N166" t="s">
        <v>2279</v>
      </c>
      <c r="O166" s="190" t="str">
        <f t="shared" si="2"/>
        <v>[S05_AggregateTotalEmissionsByCRF][9][CRFCategory2]</v>
      </c>
    </row>
    <row r="167" spans="1:15" x14ac:dyDescent="0.3">
      <c r="A167" t="s">
        <v>2277</v>
      </c>
      <c r="B167" t="s">
        <v>1846</v>
      </c>
      <c r="C167" t="s">
        <v>1849</v>
      </c>
      <c r="D167">
        <v>10</v>
      </c>
      <c r="E167" t="s">
        <v>1447</v>
      </c>
      <c r="F167" t="s">
        <v>1851</v>
      </c>
      <c r="G167" t="s">
        <v>1737</v>
      </c>
      <c r="H167" t="s">
        <v>2279</v>
      </c>
      <c r="I167" t="s">
        <v>2279</v>
      </c>
      <c r="J167" t="s">
        <v>2279</v>
      </c>
      <c r="K167" t="s">
        <v>2279</v>
      </c>
      <c r="L167" t="s">
        <v>1454</v>
      </c>
      <c r="M167" t="s">
        <v>2279</v>
      </c>
      <c r="N167" t="s">
        <v>2279</v>
      </c>
      <c r="O167" s="190" t="str">
        <f t="shared" si="2"/>
        <v>[S05_AggregateTotalEmissionsByCRF][10][CRFCategory2]</v>
      </c>
    </row>
    <row r="168" spans="1:15" x14ac:dyDescent="0.3">
      <c r="A168" t="s">
        <v>2277</v>
      </c>
      <c r="B168" t="s">
        <v>1846</v>
      </c>
      <c r="C168" t="s">
        <v>1849</v>
      </c>
      <c r="D168">
        <v>11</v>
      </c>
      <c r="E168" t="s">
        <v>1447</v>
      </c>
      <c r="F168" t="s">
        <v>1851</v>
      </c>
      <c r="G168" t="s">
        <v>1737</v>
      </c>
      <c r="H168" t="s">
        <v>2279</v>
      </c>
      <c r="I168" t="s">
        <v>2279</v>
      </c>
      <c r="J168" t="s">
        <v>2279</v>
      </c>
      <c r="K168" t="s">
        <v>2279</v>
      </c>
      <c r="L168" t="s">
        <v>1482</v>
      </c>
      <c r="M168" t="s">
        <v>2279</v>
      </c>
      <c r="N168" t="s">
        <v>2279</v>
      </c>
      <c r="O168" s="190" t="str">
        <f t="shared" si="2"/>
        <v>[S05_AggregateTotalEmissionsByCRF][11][CRFCategory2]</v>
      </c>
    </row>
    <row r="169" spans="1:15" x14ac:dyDescent="0.3">
      <c r="A169" t="s">
        <v>2277</v>
      </c>
      <c r="B169" t="s">
        <v>1846</v>
      </c>
      <c r="C169" t="s">
        <v>1849</v>
      </c>
      <c r="D169">
        <v>12</v>
      </c>
      <c r="E169" t="s">
        <v>1447</v>
      </c>
      <c r="F169" t="s">
        <v>1851</v>
      </c>
      <c r="G169" t="s">
        <v>1737</v>
      </c>
      <c r="H169" t="s">
        <v>2279</v>
      </c>
      <c r="I169" t="s">
        <v>2279</v>
      </c>
      <c r="J169" t="s">
        <v>2279</v>
      </c>
      <c r="K169" t="s">
        <v>2279</v>
      </c>
      <c r="L169" t="s">
        <v>1426</v>
      </c>
      <c r="M169" t="s">
        <v>2279</v>
      </c>
      <c r="N169" t="s">
        <v>2279</v>
      </c>
      <c r="O169" s="190" t="str">
        <f t="shared" si="2"/>
        <v>[S05_AggregateTotalEmissionsByCRF][12][CRFCategory2]</v>
      </c>
    </row>
    <row r="170" spans="1:15" x14ac:dyDescent="0.3">
      <c r="A170" t="s">
        <v>2277</v>
      </c>
      <c r="B170" t="s">
        <v>1846</v>
      </c>
      <c r="C170" t="s">
        <v>1849</v>
      </c>
      <c r="D170">
        <v>1</v>
      </c>
      <c r="E170" t="s">
        <v>1447</v>
      </c>
      <c r="F170" t="s">
        <v>1852</v>
      </c>
      <c r="G170" t="s">
        <v>1806</v>
      </c>
      <c r="H170" t="s">
        <v>2279</v>
      </c>
      <c r="I170" t="s">
        <v>2279</v>
      </c>
      <c r="J170">
        <v>20986041.4376687</v>
      </c>
      <c r="K170" t="s">
        <v>2279</v>
      </c>
      <c r="L170" t="s">
        <v>2279</v>
      </c>
      <c r="M170" t="s">
        <v>2279</v>
      </c>
      <c r="N170" t="s">
        <v>2279</v>
      </c>
      <c r="O170" s="190" t="str">
        <f t="shared" si="2"/>
        <v>[S05_AggregateTotalEmissionsByCRF][1][TotalEmissionsTCo2e]</v>
      </c>
    </row>
    <row r="171" spans="1:15" x14ac:dyDescent="0.3">
      <c r="A171" t="s">
        <v>2277</v>
      </c>
      <c r="B171" t="s">
        <v>1846</v>
      </c>
      <c r="C171" t="s">
        <v>1849</v>
      </c>
      <c r="D171">
        <v>2</v>
      </c>
      <c r="E171" t="s">
        <v>1447</v>
      </c>
      <c r="F171" t="s">
        <v>1852</v>
      </c>
      <c r="G171" t="s">
        <v>1806</v>
      </c>
      <c r="H171" t="s">
        <v>2279</v>
      </c>
      <c r="I171" t="s">
        <v>2279</v>
      </c>
      <c r="J171">
        <v>1519667.94</v>
      </c>
      <c r="K171" t="s">
        <v>2279</v>
      </c>
      <c r="L171" t="s">
        <v>2279</v>
      </c>
      <c r="M171" t="s">
        <v>2279</v>
      </c>
      <c r="N171" t="s">
        <v>2279</v>
      </c>
      <c r="O171" s="190" t="str">
        <f t="shared" si="2"/>
        <v>[S05_AggregateTotalEmissionsByCRF][2][TotalEmissionsTCo2e]</v>
      </c>
    </row>
    <row r="172" spans="1:15" x14ac:dyDescent="0.3">
      <c r="A172" t="s">
        <v>2277</v>
      </c>
      <c r="B172" t="s">
        <v>1846</v>
      </c>
      <c r="C172" t="s">
        <v>1849</v>
      </c>
      <c r="D172">
        <v>3</v>
      </c>
      <c r="E172" t="s">
        <v>1447</v>
      </c>
      <c r="F172" t="s">
        <v>1852</v>
      </c>
      <c r="G172" t="s">
        <v>1806</v>
      </c>
      <c r="H172" t="s">
        <v>2279</v>
      </c>
      <c r="I172" t="s">
        <v>2279</v>
      </c>
      <c r="J172">
        <v>135841.86167696599</v>
      </c>
      <c r="K172" t="s">
        <v>2279</v>
      </c>
      <c r="L172" t="s">
        <v>2279</v>
      </c>
      <c r="M172" t="s">
        <v>2279</v>
      </c>
      <c r="N172" t="s">
        <v>2279</v>
      </c>
      <c r="O172" s="190" t="str">
        <f t="shared" si="2"/>
        <v>[S05_AggregateTotalEmissionsByCRF][3][TotalEmissionsTCo2e]</v>
      </c>
    </row>
    <row r="173" spans="1:15" x14ac:dyDescent="0.3">
      <c r="A173" t="s">
        <v>2277</v>
      </c>
      <c r="B173" t="s">
        <v>1846</v>
      </c>
      <c r="C173" t="s">
        <v>1849</v>
      </c>
      <c r="D173">
        <v>4</v>
      </c>
      <c r="E173" t="s">
        <v>1447</v>
      </c>
      <c r="F173" t="s">
        <v>1852</v>
      </c>
      <c r="G173" t="s">
        <v>1806</v>
      </c>
      <c r="H173" t="s">
        <v>2279</v>
      </c>
      <c r="I173" t="s">
        <v>2279</v>
      </c>
      <c r="J173">
        <v>285921</v>
      </c>
      <c r="K173" t="s">
        <v>2279</v>
      </c>
      <c r="L173" t="s">
        <v>2279</v>
      </c>
      <c r="M173" t="s">
        <v>2279</v>
      </c>
      <c r="N173" t="s">
        <v>2279</v>
      </c>
      <c r="O173" s="190" t="str">
        <f t="shared" si="2"/>
        <v>[S05_AggregateTotalEmissionsByCRF][4][TotalEmissionsTCo2e]</v>
      </c>
    </row>
    <row r="174" spans="1:15" x14ac:dyDescent="0.3">
      <c r="A174" t="s">
        <v>2277</v>
      </c>
      <c r="B174" t="s">
        <v>1846</v>
      </c>
      <c r="C174" t="s">
        <v>1849</v>
      </c>
      <c r="D174">
        <v>5</v>
      </c>
      <c r="E174" t="s">
        <v>1447</v>
      </c>
      <c r="F174" t="s">
        <v>1852</v>
      </c>
      <c r="G174" t="s">
        <v>1806</v>
      </c>
      <c r="H174" t="s">
        <v>2279</v>
      </c>
      <c r="I174" t="s">
        <v>2279</v>
      </c>
      <c r="J174">
        <v>2620949.6918645999</v>
      </c>
      <c r="K174" t="s">
        <v>2279</v>
      </c>
      <c r="L174" t="s">
        <v>2279</v>
      </c>
      <c r="M174" t="s">
        <v>2279</v>
      </c>
      <c r="N174" t="s">
        <v>2279</v>
      </c>
      <c r="O174" s="190" t="str">
        <f t="shared" si="2"/>
        <v>[S05_AggregateTotalEmissionsByCRF][5][TotalEmissionsTCo2e]</v>
      </c>
    </row>
    <row r="175" spans="1:15" x14ac:dyDescent="0.3">
      <c r="A175" t="s">
        <v>2277</v>
      </c>
      <c r="B175" t="s">
        <v>1846</v>
      </c>
      <c r="C175" t="s">
        <v>1849</v>
      </c>
      <c r="D175">
        <v>6</v>
      </c>
      <c r="E175" t="s">
        <v>1447</v>
      </c>
      <c r="F175" t="s">
        <v>1852</v>
      </c>
      <c r="G175" t="s">
        <v>1806</v>
      </c>
      <c r="H175" t="s">
        <v>2279</v>
      </c>
      <c r="I175" t="s">
        <v>2279</v>
      </c>
      <c r="J175">
        <v>1827869.0618646001</v>
      </c>
      <c r="K175" t="s">
        <v>2279</v>
      </c>
      <c r="L175" t="s">
        <v>2279</v>
      </c>
      <c r="M175" t="s">
        <v>2279</v>
      </c>
      <c r="N175" t="s">
        <v>2279</v>
      </c>
      <c r="O175" s="190" t="str">
        <f t="shared" si="2"/>
        <v>[S05_AggregateTotalEmissionsByCRF][6][TotalEmissionsTCo2e]</v>
      </c>
    </row>
    <row r="176" spans="1:15" x14ac:dyDescent="0.3">
      <c r="A176" t="s">
        <v>2277</v>
      </c>
      <c r="B176" t="s">
        <v>1846</v>
      </c>
      <c r="C176" t="s">
        <v>1849</v>
      </c>
      <c r="D176">
        <v>7</v>
      </c>
      <c r="E176" t="s">
        <v>1447</v>
      </c>
      <c r="F176" t="s">
        <v>1852</v>
      </c>
      <c r="G176" t="s">
        <v>1806</v>
      </c>
      <c r="H176" t="s">
        <v>2279</v>
      </c>
      <c r="I176" t="s">
        <v>2279</v>
      </c>
      <c r="J176">
        <v>234529.29</v>
      </c>
      <c r="K176" t="s">
        <v>2279</v>
      </c>
      <c r="L176" t="s">
        <v>2279</v>
      </c>
      <c r="M176" t="s">
        <v>2279</v>
      </c>
      <c r="N176" t="s">
        <v>2279</v>
      </c>
      <c r="O176" s="190" t="str">
        <f t="shared" si="2"/>
        <v>[S05_AggregateTotalEmissionsByCRF][7][TotalEmissionsTCo2e]</v>
      </c>
    </row>
    <row r="177" spans="1:15" x14ac:dyDescent="0.3">
      <c r="A177" t="s">
        <v>2277</v>
      </c>
      <c r="B177" t="s">
        <v>1846</v>
      </c>
      <c r="C177" t="s">
        <v>1849</v>
      </c>
      <c r="D177">
        <v>8</v>
      </c>
      <c r="E177" t="s">
        <v>1447</v>
      </c>
      <c r="F177" t="s">
        <v>1852</v>
      </c>
      <c r="G177" t="s">
        <v>1806</v>
      </c>
      <c r="H177" t="s">
        <v>2279</v>
      </c>
      <c r="I177" t="s">
        <v>2279</v>
      </c>
      <c r="J177">
        <v>163852.5</v>
      </c>
      <c r="K177" t="s">
        <v>2279</v>
      </c>
      <c r="L177" t="s">
        <v>2279</v>
      </c>
      <c r="M177" t="s">
        <v>2279</v>
      </c>
      <c r="N177" t="s">
        <v>2279</v>
      </c>
      <c r="O177" s="190" t="str">
        <f t="shared" si="2"/>
        <v>[S05_AggregateTotalEmissionsByCRF][8][TotalEmissionsTCo2e]</v>
      </c>
    </row>
    <row r="178" spans="1:15" x14ac:dyDescent="0.3">
      <c r="A178" t="s">
        <v>2277</v>
      </c>
      <c r="B178" t="s">
        <v>1846</v>
      </c>
      <c r="C178" t="s">
        <v>1849</v>
      </c>
      <c r="D178">
        <v>9</v>
      </c>
      <c r="E178" t="s">
        <v>1447</v>
      </c>
      <c r="F178" t="s">
        <v>1852</v>
      </c>
      <c r="G178" t="s">
        <v>1806</v>
      </c>
      <c r="H178" t="s">
        <v>2279</v>
      </c>
      <c r="I178" t="s">
        <v>2279</v>
      </c>
      <c r="J178">
        <v>874242.48051433801</v>
      </c>
      <c r="K178" t="s">
        <v>2279</v>
      </c>
      <c r="L178" t="s">
        <v>2279</v>
      </c>
      <c r="M178" t="s">
        <v>2279</v>
      </c>
      <c r="N178" t="s">
        <v>2279</v>
      </c>
      <c r="O178" s="190" t="str">
        <f t="shared" si="2"/>
        <v>[S05_AggregateTotalEmissionsByCRF][9][TotalEmissionsTCo2e]</v>
      </c>
    </row>
    <row r="179" spans="1:15" x14ac:dyDescent="0.3">
      <c r="A179" t="s">
        <v>2277</v>
      </c>
      <c r="B179" t="s">
        <v>1846</v>
      </c>
      <c r="C179" t="s">
        <v>1849</v>
      </c>
      <c r="D179">
        <v>10</v>
      </c>
      <c r="E179" t="s">
        <v>1447</v>
      </c>
      <c r="F179" t="s">
        <v>1852</v>
      </c>
      <c r="G179" t="s">
        <v>1806</v>
      </c>
      <c r="H179" t="s">
        <v>2279</v>
      </c>
      <c r="I179" t="s">
        <v>2279</v>
      </c>
      <c r="J179">
        <v>173650.22</v>
      </c>
      <c r="K179" t="s">
        <v>2279</v>
      </c>
      <c r="L179" t="s">
        <v>2279</v>
      </c>
      <c r="M179" t="s">
        <v>2279</v>
      </c>
      <c r="N179" t="s">
        <v>2279</v>
      </c>
      <c r="O179" s="190" t="str">
        <f t="shared" si="2"/>
        <v>[S05_AggregateTotalEmissionsByCRF][10][TotalEmissionsTCo2e]</v>
      </c>
    </row>
    <row r="180" spans="1:15" x14ac:dyDescent="0.3">
      <c r="A180" t="s">
        <v>2277</v>
      </c>
      <c r="B180" t="s">
        <v>1846</v>
      </c>
      <c r="C180" t="s">
        <v>1849</v>
      </c>
      <c r="D180">
        <v>11</v>
      </c>
      <c r="E180" t="s">
        <v>1447</v>
      </c>
      <c r="F180" t="s">
        <v>1852</v>
      </c>
      <c r="G180" t="s">
        <v>1806</v>
      </c>
      <c r="H180" t="s">
        <v>2279</v>
      </c>
      <c r="I180" t="s">
        <v>2279</v>
      </c>
      <c r="J180">
        <v>639248.55438101105</v>
      </c>
      <c r="K180" t="s">
        <v>2279</v>
      </c>
      <c r="L180" t="s">
        <v>2279</v>
      </c>
      <c r="M180" t="s">
        <v>2279</v>
      </c>
      <c r="N180" t="s">
        <v>2279</v>
      </c>
      <c r="O180" s="190" t="str">
        <f t="shared" si="2"/>
        <v>[S05_AggregateTotalEmissionsByCRF][11][TotalEmissionsTCo2e]</v>
      </c>
    </row>
    <row r="181" spans="1:15" x14ac:dyDescent="0.3">
      <c r="A181" t="s">
        <v>2277</v>
      </c>
      <c r="B181" t="s">
        <v>1846</v>
      </c>
      <c r="C181" t="s">
        <v>1849</v>
      </c>
      <c r="D181">
        <v>12</v>
      </c>
      <c r="E181" t="s">
        <v>1447</v>
      </c>
      <c r="F181" t="s">
        <v>1852</v>
      </c>
      <c r="G181" t="s">
        <v>1806</v>
      </c>
      <c r="H181" t="s">
        <v>2279</v>
      </c>
      <c r="I181" t="s">
        <v>2279</v>
      </c>
      <c r="J181">
        <v>1061656.3791407901</v>
      </c>
      <c r="K181" t="s">
        <v>2279</v>
      </c>
      <c r="L181" t="s">
        <v>2279</v>
      </c>
      <c r="M181" t="s">
        <v>2279</v>
      </c>
      <c r="N181" t="s">
        <v>2279</v>
      </c>
      <c r="O181" s="190" t="str">
        <f t="shared" si="2"/>
        <v>[S05_AggregateTotalEmissionsByCRF][12][TotalEmissionsTCo2e]</v>
      </c>
    </row>
    <row r="182" spans="1:15" x14ac:dyDescent="0.3">
      <c r="A182" t="s">
        <v>2277</v>
      </c>
      <c r="B182" t="s">
        <v>1846</v>
      </c>
      <c r="C182" t="s">
        <v>1849</v>
      </c>
      <c r="D182">
        <v>13</v>
      </c>
      <c r="E182" t="s">
        <v>1447</v>
      </c>
      <c r="F182" t="s">
        <v>1852</v>
      </c>
      <c r="G182" t="s">
        <v>1806</v>
      </c>
      <c r="H182" t="s">
        <v>2279</v>
      </c>
      <c r="I182" t="s">
        <v>2279</v>
      </c>
      <c r="J182">
        <v>15283.72</v>
      </c>
      <c r="K182" t="s">
        <v>2279</v>
      </c>
      <c r="L182" t="s">
        <v>2279</v>
      </c>
      <c r="M182" t="s">
        <v>2279</v>
      </c>
      <c r="N182" t="s">
        <v>2279</v>
      </c>
      <c r="O182" s="190" t="str">
        <f t="shared" si="2"/>
        <v>[S05_AggregateTotalEmissionsByCRF][13][TotalEmissionsTCo2e]</v>
      </c>
    </row>
    <row r="183" spans="1:15" x14ac:dyDescent="0.3">
      <c r="A183" t="s">
        <v>2277</v>
      </c>
      <c r="B183" t="s">
        <v>1846</v>
      </c>
      <c r="C183" t="s">
        <v>1849</v>
      </c>
      <c r="D183">
        <v>14</v>
      </c>
      <c r="E183" t="s">
        <v>1447</v>
      </c>
      <c r="F183" t="s">
        <v>1852</v>
      </c>
      <c r="G183" t="s">
        <v>1806</v>
      </c>
      <c r="H183" t="s">
        <v>2279</v>
      </c>
      <c r="I183" t="s">
        <v>2279</v>
      </c>
      <c r="J183">
        <v>128371.86</v>
      </c>
      <c r="K183" t="s">
        <v>2279</v>
      </c>
      <c r="L183" t="s">
        <v>2279</v>
      </c>
      <c r="M183" t="s">
        <v>2279</v>
      </c>
      <c r="N183" t="s">
        <v>2279</v>
      </c>
      <c r="O183" s="190" t="str">
        <f t="shared" si="2"/>
        <v>[S05_AggregateTotalEmissionsByCRF][14][TotalEmissionsTCo2e]</v>
      </c>
    </row>
    <row r="184" spans="1:15" x14ac:dyDescent="0.3">
      <c r="A184" t="s">
        <v>2277</v>
      </c>
      <c r="B184" t="s">
        <v>1846</v>
      </c>
      <c r="C184" t="s">
        <v>1849</v>
      </c>
      <c r="D184">
        <v>15</v>
      </c>
      <c r="E184" t="s">
        <v>1447</v>
      </c>
      <c r="F184" t="s">
        <v>1852</v>
      </c>
      <c r="G184" t="s">
        <v>1806</v>
      </c>
      <c r="H184" t="s">
        <v>2279</v>
      </c>
      <c r="I184" t="s">
        <v>2279</v>
      </c>
      <c r="J184">
        <v>1282.13849426923</v>
      </c>
      <c r="K184" t="s">
        <v>2279</v>
      </c>
      <c r="L184" t="s">
        <v>2279</v>
      </c>
      <c r="M184" t="s">
        <v>2279</v>
      </c>
      <c r="N184" t="s">
        <v>2279</v>
      </c>
      <c r="O184" s="190" t="str">
        <f t="shared" si="2"/>
        <v>[S05_AggregateTotalEmissionsByCRF][15][TotalEmissionsTCo2e]</v>
      </c>
    </row>
    <row r="185" spans="1:15" x14ac:dyDescent="0.3">
      <c r="A185" t="s">
        <v>2277</v>
      </c>
      <c r="B185" t="s">
        <v>1846</v>
      </c>
      <c r="C185" t="s">
        <v>1849</v>
      </c>
      <c r="D185">
        <v>1</v>
      </c>
      <c r="E185" t="s">
        <v>1447</v>
      </c>
      <c r="F185" t="s">
        <v>1853</v>
      </c>
      <c r="G185" t="s">
        <v>1806</v>
      </c>
      <c r="H185" t="s">
        <v>2279</v>
      </c>
      <c r="I185" t="s">
        <v>2279</v>
      </c>
      <c r="J185">
        <v>20760101.217668802</v>
      </c>
      <c r="K185" t="s">
        <v>2279</v>
      </c>
      <c r="L185" t="s">
        <v>2279</v>
      </c>
      <c r="M185" t="s">
        <v>2279</v>
      </c>
      <c r="N185" t="s">
        <v>2279</v>
      </c>
      <c r="O185" s="190" t="str">
        <f t="shared" si="2"/>
        <v>[S05_AggregateTotalEmissionsByCRF][1][TotalCombustionEmissionsTCo2e]</v>
      </c>
    </row>
    <row r="186" spans="1:15" x14ac:dyDescent="0.3">
      <c r="A186" t="s">
        <v>2277</v>
      </c>
      <c r="B186" t="s">
        <v>1846</v>
      </c>
      <c r="C186" t="s">
        <v>1849</v>
      </c>
      <c r="D186">
        <v>2</v>
      </c>
      <c r="E186" t="s">
        <v>1447</v>
      </c>
      <c r="F186" t="s">
        <v>1853</v>
      </c>
      <c r="G186" t="s">
        <v>1806</v>
      </c>
      <c r="H186" t="s">
        <v>2279</v>
      </c>
      <c r="I186" t="s">
        <v>2279</v>
      </c>
      <c r="J186">
        <v>1519667.94</v>
      </c>
      <c r="K186" t="s">
        <v>2279</v>
      </c>
      <c r="L186" t="s">
        <v>2279</v>
      </c>
      <c r="M186" t="s">
        <v>2279</v>
      </c>
      <c r="N186" t="s">
        <v>2279</v>
      </c>
      <c r="O186" s="190" t="str">
        <f t="shared" si="2"/>
        <v>[S05_AggregateTotalEmissionsByCRF][2][TotalCombustionEmissionsTCo2e]</v>
      </c>
    </row>
    <row r="187" spans="1:15" x14ac:dyDescent="0.3">
      <c r="A187" t="s">
        <v>2277</v>
      </c>
      <c r="B187" t="s">
        <v>1846</v>
      </c>
      <c r="C187" t="s">
        <v>1849</v>
      </c>
      <c r="D187">
        <v>3</v>
      </c>
      <c r="E187" t="s">
        <v>1447</v>
      </c>
      <c r="F187" t="s">
        <v>1853</v>
      </c>
      <c r="G187" t="s">
        <v>1806</v>
      </c>
      <c r="H187" t="s">
        <v>2279</v>
      </c>
      <c r="I187" t="s">
        <v>2279</v>
      </c>
      <c r="J187">
        <v>112970.11</v>
      </c>
      <c r="K187" t="s">
        <v>2279</v>
      </c>
      <c r="L187" t="s">
        <v>2279</v>
      </c>
      <c r="M187" t="s">
        <v>2279</v>
      </c>
      <c r="N187" t="s">
        <v>2279</v>
      </c>
      <c r="O187" s="190" t="str">
        <f t="shared" si="2"/>
        <v>[S05_AggregateTotalEmissionsByCRF][3][TotalCombustionEmissionsTCo2e]</v>
      </c>
    </row>
    <row r="188" spans="1:15" x14ac:dyDescent="0.3">
      <c r="A188" t="s">
        <v>2277</v>
      </c>
      <c r="B188" t="s">
        <v>1846</v>
      </c>
      <c r="C188" t="s">
        <v>1849</v>
      </c>
      <c r="D188">
        <v>4</v>
      </c>
      <c r="E188" t="s">
        <v>1447</v>
      </c>
      <c r="F188" t="s">
        <v>1853</v>
      </c>
      <c r="G188" t="s">
        <v>1806</v>
      </c>
      <c r="H188" t="s">
        <v>2279</v>
      </c>
      <c r="I188" t="s">
        <v>2279</v>
      </c>
      <c r="J188">
        <v>285921</v>
      </c>
      <c r="K188" t="s">
        <v>2279</v>
      </c>
      <c r="L188" t="s">
        <v>2279</v>
      </c>
      <c r="M188" t="s">
        <v>2279</v>
      </c>
      <c r="N188" t="s">
        <v>2279</v>
      </c>
      <c r="O188" s="190" t="str">
        <f t="shared" si="2"/>
        <v>[S05_AggregateTotalEmissionsByCRF][4][TotalCombustionEmissionsTCo2e]</v>
      </c>
    </row>
    <row r="189" spans="1:15" x14ac:dyDescent="0.3">
      <c r="A189" t="s">
        <v>2277</v>
      </c>
      <c r="B189" t="s">
        <v>1846</v>
      </c>
      <c r="C189" t="s">
        <v>1849</v>
      </c>
      <c r="D189">
        <v>5</v>
      </c>
      <c r="E189" t="s">
        <v>1447</v>
      </c>
      <c r="F189" t="s">
        <v>1853</v>
      </c>
      <c r="G189" t="s">
        <v>1806</v>
      </c>
      <c r="H189" t="s">
        <v>2279</v>
      </c>
      <c r="I189" t="s">
        <v>2279</v>
      </c>
      <c r="J189">
        <v>720082.63</v>
      </c>
      <c r="K189" t="s">
        <v>2279</v>
      </c>
      <c r="L189" t="s">
        <v>2279</v>
      </c>
      <c r="M189" t="s">
        <v>2279</v>
      </c>
      <c r="N189" t="s">
        <v>2279</v>
      </c>
      <c r="O189" s="190" t="str">
        <f t="shared" si="2"/>
        <v>[S05_AggregateTotalEmissionsByCRF][5][TotalCombustionEmissionsTCo2e]</v>
      </c>
    </row>
    <row r="190" spans="1:15" x14ac:dyDescent="0.3">
      <c r="A190" t="s">
        <v>2277</v>
      </c>
      <c r="B190" t="s">
        <v>1846</v>
      </c>
      <c r="C190" t="s">
        <v>1849</v>
      </c>
      <c r="D190">
        <v>7</v>
      </c>
      <c r="E190" t="s">
        <v>1447</v>
      </c>
      <c r="F190" t="s">
        <v>1853</v>
      </c>
      <c r="G190" t="s">
        <v>1806</v>
      </c>
      <c r="H190" t="s">
        <v>2279</v>
      </c>
      <c r="I190" t="s">
        <v>2279</v>
      </c>
      <c r="J190">
        <v>87679.22</v>
      </c>
      <c r="K190" t="s">
        <v>2279</v>
      </c>
      <c r="L190" t="s">
        <v>2279</v>
      </c>
      <c r="M190" t="s">
        <v>2279</v>
      </c>
      <c r="N190" t="s">
        <v>2279</v>
      </c>
      <c r="O190" s="190" t="str">
        <f t="shared" si="2"/>
        <v>[S05_AggregateTotalEmissionsByCRF][7][TotalCombustionEmissionsTCo2e]</v>
      </c>
    </row>
    <row r="191" spans="1:15" x14ac:dyDescent="0.3">
      <c r="A191" t="s">
        <v>2277</v>
      </c>
      <c r="B191" t="s">
        <v>1846</v>
      </c>
      <c r="C191" t="s">
        <v>1849</v>
      </c>
      <c r="D191">
        <v>8</v>
      </c>
      <c r="E191" t="s">
        <v>1447</v>
      </c>
      <c r="F191" t="s">
        <v>1853</v>
      </c>
      <c r="G191" t="s">
        <v>1806</v>
      </c>
      <c r="H191" t="s">
        <v>2279</v>
      </c>
      <c r="I191" t="s">
        <v>2279</v>
      </c>
      <c r="J191">
        <v>163852.5</v>
      </c>
      <c r="K191" t="s">
        <v>2279</v>
      </c>
      <c r="L191" t="s">
        <v>2279</v>
      </c>
      <c r="M191" t="s">
        <v>2279</v>
      </c>
      <c r="N191" t="s">
        <v>2279</v>
      </c>
      <c r="O191" s="190" t="str">
        <f t="shared" si="2"/>
        <v>[S05_AggregateTotalEmissionsByCRF][8][TotalCombustionEmissionsTCo2e]</v>
      </c>
    </row>
    <row r="192" spans="1:15" x14ac:dyDescent="0.3">
      <c r="A192" t="s">
        <v>2277</v>
      </c>
      <c r="B192" t="s">
        <v>1846</v>
      </c>
      <c r="C192" t="s">
        <v>1849</v>
      </c>
      <c r="D192">
        <v>9</v>
      </c>
      <c r="E192" t="s">
        <v>1447</v>
      </c>
      <c r="F192" t="s">
        <v>1853</v>
      </c>
      <c r="G192" t="s">
        <v>1806</v>
      </c>
      <c r="H192" t="s">
        <v>2279</v>
      </c>
      <c r="I192" t="s">
        <v>2279</v>
      </c>
      <c r="J192">
        <v>194089.96289330101</v>
      </c>
      <c r="K192" t="s">
        <v>2279</v>
      </c>
      <c r="L192" t="s">
        <v>2279</v>
      </c>
      <c r="M192" t="s">
        <v>2279</v>
      </c>
      <c r="N192" t="s">
        <v>2279</v>
      </c>
      <c r="O192" s="190" t="str">
        <f t="shared" si="2"/>
        <v>[S05_AggregateTotalEmissionsByCRF][9][TotalCombustionEmissionsTCo2e]</v>
      </c>
    </row>
    <row r="193" spans="1:15" x14ac:dyDescent="0.3">
      <c r="A193" t="s">
        <v>2277</v>
      </c>
      <c r="B193" t="s">
        <v>1846</v>
      </c>
      <c r="C193" t="s">
        <v>1849</v>
      </c>
      <c r="D193">
        <v>10</v>
      </c>
      <c r="E193" t="s">
        <v>1447</v>
      </c>
      <c r="F193" t="s">
        <v>1853</v>
      </c>
      <c r="G193" t="s">
        <v>1806</v>
      </c>
      <c r="H193" t="s">
        <v>2279</v>
      </c>
      <c r="I193" t="s">
        <v>2279</v>
      </c>
      <c r="J193">
        <v>26800.15</v>
      </c>
      <c r="K193" t="s">
        <v>2279</v>
      </c>
      <c r="L193" t="s">
        <v>2279</v>
      </c>
      <c r="M193" t="s">
        <v>2279</v>
      </c>
      <c r="N193" t="s">
        <v>2279</v>
      </c>
      <c r="O193" s="190" t="str">
        <f t="shared" si="2"/>
        <v>[S05_AggregateTotalEmissionsByCRF][10][TotalCombustionEmissionsTCo2e]</v>
      </c>
    </row>
    <row r="194" spans="1:15" x14ac:dyDescent="0.3">
      <c r="A194" t="s">
        <v>2277</v>
      </c>
      <c r="B194" t="s">
        <v>1846</v>
      </c>
      <c r="C194" t="s">
        <v>1849</v>
      </c>
      <c r="D194">
        <v>11</v>
      </c>
      <c r="E194" t="s">
        <v>1447</v>
      </c>
      <c r="F194" t="s">
        <v>1853</v>
      </c>
      <c r="G194" t="s">
        <v>1806</v>
      </c>
      <c r="H194" t="s">
        <v>2279</v>
      </c>
      <c r="I194" t="s">
        <v>2279</v>
      </c>
      <c r="J194">
        <v>454187.83</v>
      </c>
      <c r="K194" t="s">
        <v>2279</v>
      </c>
      <c r="L194" t="s">
        <v>2279</v>
      </c>
      <c r="M194" t="s">
        <v>2279</v>
      </c>
      <c r="N194" t="s">
        <v>2279</v>
      </c>
      <c r="O194" s="190" t="str">
        <f t="shared" ref="O194:O257" si="3">"["&amp;$C194&amp;"]["&amp;$D194&amp;"]["&amp;$F194&amp;"]"</f>
        <v>[S05_AggregateTotalEmissionsByCRF][11][TotalCombustionEmissionsTCo2e]</v>
      </c>
    </row>
    <row r="195" spans="1:15" x14ac:dyDescent="0.3">
      <c r="A195" t="s">
        <v>2277</v>
      </c>
      <c r="B195" t="s">
        <v>1846</v>
      </c>
      <c r="C195" t="s">
        <v>1849</v>
      </c>
      <c r="D195">
        <v>12</v>
      </c>
      <c r="E195" t="s">
        <v>1447</v>
      </c>
      <c r="F195" t="s">
        <v>1853</v>
      </c>
      <c r="G195" t="s">
        <v>1806</v>
      </c>
      <c r="H195" t="s">
        <v>2279</v>
      </c>
      <c r="I195" t="s">
        <v>2279</v>
      </c>
      <c r="J195">
        <v>27187</v>
      </c>
      <c r="K195" t="s">
        <v>2279</v>
      </c>
      <c r="L195" t="s">
        <v>2279</v>
      </c>
      <c r="M195" t="s">
        <v>2279</v>
      </c>
      <c r="N195" t="s">
        <v>2279</v>
      </c>
      <c r="O195" s="190" t="str">
        <f t="shared" si="3"/>
        <v>[S05_AggregateTotalEmissionsByCRF][12][TotalCombustionEmissionsTCo2e]</v>
      </c>
    </row>
    <row r="196" spans="1:15" x14ac:dyDescent="0.3">
      <c r="A196" t="s">
        <v>2277</v>
      </c>
      <c r="B196" t="s">
        <v>1846</v>
      </c>
      <c r="C196" t="s">
        <v>1849</v>
      </c>
      <c r="D196">
        <v>13</v>
      </c>
      <c r="E196" t="s">
        <v>1447</v>
      </c>
      <c r="F196" t="s">
        <v>1853</v>
      </c>
      <c r="G196" t="s">
        <v>1806</v>
      </c>
      <c r="H196" t="s">
        <v>2279</v>
      </c>
      <c r="I196" t="s">
        <v>2279</v>
      </c>
      <c r="J196">
        <v>15283.72</v>
      </c>
      <c r="K196" t="s">
        <v>2279</v>
      </c>
      <c r="L196" t="s">
        <v>2279</v>
      </c>
      <c r="M196" t="s">
        <v>2279</v>
      </c>
      <c r="N196" t="s">
        <v>2279</v>
      </c>
      <c r="O196" s="190" t="str">
        <f t="shared" si="3"/>
        <v>[S05_AggregateTotalEmissionsByCRF][13][TotalCombustionEmissionsTCo2e]</v>
      </c>
    </row>
    <row r="197" spans="1:15" x14ac:dyDescent="0.3">
      <c r="A197" t="s">
        <v>2277</v>
      </c>
      <c r="B197" t="s">
        <v>1846</v>
      </c>
      <c r="C197" t="s">
        <v>1849</v>
      </c>
      <c r="D197">
        <v>14</v>
      </c>
      <c r="E197" t="s">
        <v>1447</v>
      </c>
      <c r="F197" t="s">
        <v>1853</v>
      </c>
      <c r="G197" t="s">
        <v>1806</v>
      </c>
      <c r="H197" t="s">
        <v>2279</v>
      </c>
      <c r="I197" t="s">
        <v>2279</v>
      </c>
      <c r="J197">
        <v>128371.86</v>
      </c>
      <c r="K197" t="s">
        <v>2279</v>
      </c>
      <c r="L197" t="s">
        <v>2279</v>
      </c>
      <c r="M197" t="s">
        <v>2279</v>
      </c>
      <c r="N197" t="s">
        <v>2279</v>
      </c>
      <c r="O197" s="190" t="str">
        <f t="shared" si="3"/>
        <v>[S05_AggregateTotalEmissionsByCRF][14][TotalCombustionEmissionsTCo2e]</v>
      </c>
    </row>
    <row r="198" spans="1:15" x14ac:dyDescent="0.3">
      <c r="A198" t="s">
        <v>2277</v>
      </c>
      <c r="B198" t="s">
        <v>1846</v>
      </c>
      <c r="C198" t="s">
        <v>1849</v>
      </c>
      <c r="D198">
        <v>15</v>
      </c>
      <c r="E198" t="s">
        <v>1447</v>
      </c>
      <c r="F198" t="s">
        <v>1853</v>
      </c>
      <c r="G198" t="s">
        <v>1806</v>
      </c>
      <c r="H198" t="s">
        <v>2279</v>
      </c>
      <c r="I198" t="s">
        <v>2279</v>
      </c>
      <c r="J198">
        <v>1282.13849426923</v>
      </c>
      <c r="K198" t="s">
        <v>2279</v>
      </c>
      <c r="L198" t="s">
        <v>2279</v>
      </c>
      <c r="M198" t="s">
        <v>2279</v>
      </c>
      <c r="N198" t="s">
        <v>2279</v>
      </c>
      <c r="O198" s="190" t="str">
        <f t="shared" si="3"/>
        <v>[S05_AggregateTotalEmissionsByCRF][15][TotalCombustionEmissionsTCo2e]</v>
      </c>
    </row>
    <row r="199" spans="1:15" x14ac:dyDescent="0.3">
      <c r="A199" t="s">
        <v>2277</v>
      </c>
      <c r="B199" t="s">
        <v>1846</v>
      </c>
      <c r="C199" t="s">
        <v>1849</v>
      </c>
      <c r="D199">
        <v>1</v>
      </c>
      <c r="E199" t="s">
        <v>1447</v>
      </c>
      <c r="F199" t="s">
        <v>1854</v>
      </c>
      <c r="G199" t="s">
        <v>1806</v>
      </c>
      <c r="H199" t="s">
        <v>2279</v>
      </c>
      <c r="I199" t="s">
        <v>2279</v>
      </c>
      <c r="J199">
        <v>225940.22</v>
      </c>
      <c r="K199" t="s">
        <v>2279</v>
      </c>
      <c r="L199" t="s">
        <v>2279</v>
      </c>
      <c r="M199" t="s">
        <v>2279</v>
      </c>
      <c r="N199" t="s">
        <v>2279</v>
      </c>
      <c r="O199" s="190" t="str">
        <f t="shared" si="3"/>
        <v>[S05_AggregateTotalEmissionsByCRF][1][TotalProcessEmissionsTCo2e]</v>
      </c>
    </row>
    <row r="200" spans="1:15" x14ac:dyDescent="0.3">
      <c r="A200" t="s">
        <v>2277</v>
      </c>
      <c r="B200" t="s">
        <v>1846</v>
      </c>
      <c r="C200" t="s">
        <v>1849</v>
      </c>
      <c r="D200">
        <v>3</v>
      </c>
      <c r="E200" t="s">
        <v>1447</v>
      </c>
      <c r="F200" t="s">
        <v>1854</v>
      </c>
      <c r="G200" t="s">
        <v>1806</v>
      </c>
      <c r="H200" t="s">
        <v>2279</v>
      </c>
      <c r="I200" t="s">
        <v>2279</v>
      </c>
      <c r="J200">
        <v>22871.751676966302</v>
      </c>
      <c r="K200" t="s">
        <v>2279</v>
      </c>
      <c r="L200" t="s">
        <v>2279</v>
      </c>
      <c r="M200" t="s">
        <v>2279</v>
      </c>
      <c r="N200" t="s">
        <v>2279</v>
      </c>
      <c r="O200" s="190" t="str">
        <f t="shared" si="3"/>
        <v>[S05_AggregateTotalEmissionsByCRF][3][TotalProcessEmissionsTCo2e]</v>
      </c>
    </row>
    <row r="201" spans="1:15" x14ac:dyDescent="0.3">
      <c r="A201" t="s">
        <v>2277</v>
      </c>
      <c r="B201" t="s">
        <v>1846</v>
      </c>
      <c r="C201" t="s">
        <v>1849</v>
      </c>
      <c r="D201">
        <v>5</v>
      </c>
      <c r="E201" t="s">
        <v>1447</v>
      </c>
      <c r="F201" t="s">
        <v>1854</v>
      </c>
      <c r="G201" t="s">
        <v>1806</v>
      </c>
      <c r="H201" t="s">
        <v>2279</v>
      </c>
      <c r="I201" t="s">
        <v>2279</v>
      </c>
      <c r="J201">
        <v>72998</v>
      </c>
      <c r="K201" t="s">
        <v>2279</v>
      </c>
      <c r="L201" t="s">
        <v>2279</v>
      </c>
      <c r="M201" t="s">
        <v>2279</v>
      </c>
      <c r="N201" t="s">
        <v>2279</v>
      </c>
      <c r="O201" s="190" t="str">
        <f t="shared" si="3"/>
        <v>[S05_AggregateTotalEmissionsByCRF][5][TotalProcessEmissionsTCo2e]</v>
      </c>
    </row>
    <row r="202" spans="1:15" x14ac:dyDescent="0.3">
      <c r="A202" t="s">
        <v>2277</v>
      </c>
      <c r="B202" t="s">
        <v>1846</v>
      </c>
      <c r="C202" t="s">
        <v>1849</v>
      </c>
      <c r="D202">
        <v>6</v>
      </c>
      <c r="E202" t="s">
        <v>1447</v>
      </c>
      <c r="F202" t="s">
        <v>1854</v>
      </c>
      <c r="G202" t="s">
        <v>1806</v>
      </c>
      <c r="H202" t="s">
        <v>2279</v>
      </c>
      <c r="I202" t="s">
        <v>2279</v>
      </c>
      <c r="J202">
        <v>1827869.0618646001</v>
      </c>
      <c r="K202" t="s">
        <v>2279</v>
      </c>
      <c r="L202" t="s">
        <v>2279</v>
      </c>
      <c r="M202" t="s">
        <v>2279</v>
      </c>
      <c r="N202" t="s">
        <v>2279</v>
      </c>
      <c r="O202" s="190" t="str">
        <f t="shared" si="3"/>
        <v>[S05_AggregateTotalEmissionsByCRF][6][TotalProcessEmissionsTCo2e]</v>
      </c>
    </row>
    <row r="203" spans="1:15" x14ac:dyDescent="0.3">
      <c r="A203" t="s">
        <v>2277</v>
      </c>
      <c r="B203" t="s">
        <v>1846</v>
      </c>
      <c r="C203" t="s">
        <v>1849</v>
      </c>
      <c r="D203">
        <v>7</v>
      </c>
      <c r="E203" t="s">
        <v>1447</v>
      </c>
      <c r="F203" t="s">
        <v>1854</v>
      </c>
      <c r="G203" t="s">
        <v>1806</v>
      </c>
      <c r="H203" t="s">
        <v>2279</v>
      </c>
      <c r="I203" t="s">
        <v>2279</v>
      </c>
      <c r="J203">
        <v>146850.07</v>
      </c>
      <c r="K203" t="s">
        <v>2279</v>
      </c>
      <c r="L203" t="s">
        <v>2279</v>
      </c>
      <c r="M203" t="s">
        <v>2279</v>
      </c>
      <c r="N203" t="s">
        <v>2279</v>
      </c>
      <c r="O203" s="190" t="str">
        <f t="shared" si="3"/>
        <v>[S05_AggregateTotalEmissionsByCRF][7][TotalProcessEmissionsTCo2e]</v>
      </c>
    </row>
    <row r="204" spans="1:15" x14ac:dyDescent="0.3">
      <c r="A204" t="s">
        <v>2277</v>
      </c>
      <c r="B204" t="s">
        <v>1846</v>
      </c>
      <c r="C204" t="s">
        <v>1849</v>
      </c>
      <c r="D204">
        <v>9</v>
      </c>
      <c r="E204" t="s">
        <v>1447</v>
      </c>
      <c r="F204" t="s">
        <v>1854</v>
      </c>
      <c r="G204" t="s">
        <v>1806</v>
      </c>
      <c r="H204" t="s">
        <v>2279</v>
      </c>
      <c r="I204" t="s">
        <v>2279</v>
      </c>
      <c r="J204">
        <v>680152.51762103802</v>
      </c>
      <c r="K204" t="s">
        <v>2279</v>
      </c>
      <c r="L204" t="s">
        <v>2279</v>
      </c>
      <c r="M204" t="s">
        <v>2279</v>
      </c>
      <c r="N204" t="s">
        <v>2279</v>
      </c>
      <c r="O204" s="190" t="str">
        <f t="shared" si="3"/>
        <v>[S05_AggregateTotalEmissionsByCRF][9][TotalProcessEmissionsTCo2e]</v>
      </c>
    </row>
    <row r="205" spans="1:15" x14ac:dyDescent="0.3">
      <c r="A205" t="s">
        <v>2277</v>
      </c>
      <c r="B205" t="s">
        <v>1846</v>
      </c>
      <c r="C205" t="s">
        <v>1849</v>
      </c>
      <c r="D205">
        <v>10</v>
      </c>
      <c r="E205" t="s">
        <v>1447</v>
      </c>
      <c r="F205" t="s">
        <v>1854</v>
      </c>
      <c r="G205" t="s">
        <v>1806</v>
      </c>
      <c r="H205" t="s">
        <v>2279</v>
      </c>
      <c r="I205" t="s">
        <v>2279</v>
      </c>
      <c r="J205">
        <v>146850.07</v>
      </c>
      <c r="K205" t="s">
        <v>2279</v>
      </c>
      <c r="L205" t="s">
        <v>2279</v>
      </c>
      <c r="M205" t="s">
        <v>2279</v>
      </c>
      <c r="N205" t="s">
        <v>2279</v>
      </c>
      <c r="O205" s="190" t="str">
        <f t="shared" si="3"/>
        <v>[S05_AggregateTotalEmissionsByCRF][10][TotalProcessEmissionsTCo2e]</v>
      </c>
    </row>
    <row r="206" spans="1:15" x14ac:dyDescent="0.3">
      <c r="A206" t="s">
        <v>2277</v>
      </c>
      <c r="B206" t="s">
        <v>1846</v>
      </c>
      <c r="C206" t="s">
        <v>1849</v>
      </c>
      <c r="D206">
        <v>11</v>
      </c>
      <c r="E206" t="s">
        <v>1447</v>
      </c>
      <c r="F206" t="s">
        <v>1854</v>
      </c>
      <c r="G206" t="s">
        <v>1806</v>
      </c>
      <c r="H206" t="s">
        <v>2279</v>
      </c>
      <c r="I206" t="s">
        <v>2279</v>
      </c>
      <c r="J206">
        <v>185060.72438101101</v>
      </c>
      <c r="K206" t="s">
        <v>2279</v>
      </c>
      <c r="L206" t="s">
        <v>2279</v>
      </c>
      <c r="M206" t="s">
        <v>2279</v>
      </c>
      <c r="N206" t="s">
        <v>2279</v>
      </c>
      <c r="O206" s="190" t="str">
        <f t="shared" si="3"/>
        <v>[S05_AggregateTotalEmissionsByCRF][11][TotalProcessEmissionsTCo2e]</v>
      </c>
    </row>
    <row r="207" spans="1:15" x14ac:dyDescent="0.3">
      <c r="A207" t="s">
        <v>2277</v>
      </c>
      <c r="B207" t="s">
        <v>1846</v>
      </c>
      <c r="C207" t="s">
        <v>1849</v>
      </c>
      <c r="D207">
        <v>12</v>
      </c>
      <c r="E207" t="s">
        <v>1447</v>
      </c>
      <c r="F207" t="s">
        <v>1854</v>
      </c>
      <c r="G207" t="s">
        <v>1806</v>
      </c>
      <c r="H207" t="s">
        <v>2279</v>
      </c>
      <c r="I207" t="s">
        <v>2279</v>
      </c>
      <c r="J207">
        <v>1034469.37914079</v>
      </c>
      <c r="K207" t="s">
        <v>2279</v>
      </c>
      <c r="L207" t="s">
        <v>2279</v>
      </c>
      <c r="M207" t="s">
        <v>2279</v>
      </c>
      <c r="N207" t="s">
        <v>2279</v>
      </c>
      <c r="O207" s="190" t="str">
        <f t="shared" si="3"/>
        <v>[S05_AggregateTotalEmissionsByCRF][12][TotalProcessEmissionsTCo2e]</v>
      </c>
    </row>
    <row r="208" spans="1:15" x14ac:dyDescent="0.3">
      <c r="A208" t="s">
        <v>2277</v>
      </c>
      <c r="B208" t="s">
        <v>1847</v>
      </c>
      <c r="C208" t="s">
        <v>1855</v>
      </c>
      <c r="D208">
        <v>1</v>
      </c>
      <c r="E208" t="s">
        <v>1447</v>
      </c>
      <c r="F208" t="s">
        <v>1856</v>
      </c>
      <c r="G208" t="s">
        <v>1737</v>
      </c>
      <c r="H208" t="s">
        <v>2279</v>
      </c>
      <c r="I208" t="s">
        <v>2279</v>
      </c>
      <c r="J208" t="s">
        <v>2279</v>
      </c>
      <c r="K208" t="s">
        <v>2279</v>
      </c>
      <c r="L208" t="s">
        <v>1427</v>
      </c>
      <c r="M208" t="s">
        <v>2279</v>
      </c>
      <c r="N208" t="s">
        <v>2279</v>
      </c>
      <c r="O208" s="190" t="str">
        <f t="shared" si="3"/>
        <v>[S05_DefaultValues][1][InstallationCategory]</v>
      </c>
    </row>
    <row r="209" spans="1:15" x14ac:dyDescent="0.3">
      <c r="A209" t="s">
        <v>2277</v>
      </c>
      <c r="B209" t="s">
        <v>1847</v>
      </c>
      <c r="C209" t="s">
        <v>1855</v>
      </c>
      <c r="D209">
        <v>2</v>
      </c>
      <c r="E209" t="s">
        <v>1447</v>
      </c>
      <c r="F209" t="s">
        <v>1856</v>
      </c>
      <c r="G209" t="s">
        <v>1737</v>
      </c>
      <c r="H209" t="s">
        <v>2279</v>
      </c>
      <c r="I209" t="s">
        <v>2279</v>
      </c>
      <c r="J209" t="s">
        <v>2279</v>
      </c>
      <c r="K209" t="s">
        <v>2279</v>
      </c>
      <c r="L209" t="s">
        <v>1427</v>
      </c>
      <c r="M209" t="s">
        <v>2279</v>
      </c>
      <c r="N209" t="s">
        <v>2279</v>
      </c>
      <c r="O209" s="190" t="str">
        <f t="shared" si="3"/>
        <v>[S05_DefaultValues][2][InstallationCategory]</v>
      </c>
    </row>
    <row r="210" spans="1:15" x14ac:dyDescent="0.3">
      <c r="A210" t="s">
        <v>2277</v>
      </c>
      <c r="B210" t="s">
        <v>1847</v>
      </c>
      <c r="C210" t="s">
        <v>1855</v>
      </c>
      <c r="D210">
        <v>3</v>
      </c>
      <c r="E210" t="s">
        <v>1447</v>
      </c>
      <c r="F210" t="s">
        <v>1856</v>
      </c>
      <c r="G210" t="s">
        <v>1737</v>
      </c>
      <c r="H210" t="s">
        <v>2279</v>
      </c>
      <c r="I210" t="s">
        <v>2279</v>
      </c>
      <c r="J210" t="s">
        <v>2279</v>
      </c>
      <c r="K210" t="s">
        <v>2279</v>
      </c>
      <c r="L210" t="s">
        <v>1455</v>
      </c>
      <c r="M210" t="s">
        <v>2279</v>
      </c>
      <c r="N210" t="s">
        <v>2279</v>
      </c>
      <c r="O210" s="190" t="str">
        <f t="shared" si="3"/>
        <v>[S05_DefaultValues][3][InstallationCategory]</v>
      </c>
    </row>
    <row r="211" spans="1:15" x14ac:dyDescent="0.3">
      <c r="A211" t="s">
        <v>2277</v>
      </c>
      <c r="B211" t="s">
        <v>1847</v>
      </c>
      <c r="C211" t="s">
        <v>1855</v>
      </c>
      <c r="D211">
        <v>4</v>
      </c>
      <c r="E211" t="s">
        <v>1447</v>
      </c>
      <c r="F211" t="s">
        <v>1856</v>
      </c>
      <c r="G211" t="s">
        <v>1737</v>
      </c>
      <c r="H211" t="s">
        <v>2279</v>
      </c>
      <c r="I211" t="s">
        <v>2279</v>
      </c>
      <c r="J211" t="s">
        <v>2279</v>
      </c>
      <c r="K211" t="s">
        <v>2279</v>
      </c>
      <c r="L211" t="s">
        <v>1455</v>
      </c>
      <c r="M211" t="s">
        <v>2279</v>
      </c>
      <c r="N211" t="s">
        <v>2279</v>
      </c>
      <c r="O211" s="190" t="str">
        <f t="shared" si="3"/>
        <v>[S05_DefaultValues][4][InstallationCategory]</v>
      </c>
    </row>
    <row r="212" spans="1:15" x14ac:dyDescent="0.3">
      <c r="A212" t="s">
        <v>2277</v>
      </c>
      <c r="B212" t="s">
        <v>1847</v>
      </c>
      <c r="C212" t="s">
        <v>1855</v>
      </c>
      <c r="D212">
        <v>5</v>
      </c>
      <c r="E212" t="s">
        <v>1447</v>
      </c>
      <c r="F212" t="s">
        <v>1856</v>
      </c>
      <c r="G212" t="s">
        <v>1737</v>
      </c>
      <c r="H212" t="s">
        <v>2279</v>
      </c>
      <c r="I212" t="s">
        <v>2279</v>
      </c>
      <c r="J212" t="s">
        <v>2279</v>
      </c>
      <c r="K212" t="s">
        <v>2279</v>
      </c>
      <c r="L212" t="s">
        <v>1483</v>
      </c>
      <c r="M212" t="s">
        <v>2279</v>
      </c>
      <c r="N212" t="s">
        <v>2279</v>
      </c>
      <c r="O212" s="190" t="str">
        <f t="shared" si="3"/>
        <v>[S05_DefaultValues][5][InstallationCategory]</v>
      </c>
    </row>
    <row r="213" spans="1:15" x14ac:dyDescent="0.3">
      <c r="A213" t="s">
        <v>2277</v>
      </c>
      <c r="B213" t="s">
        <v>1847</v>
      </c>
      <c r="C213" t="s">
        <v>1855</v>
      </c>
      <c r="D213">
        <v>1</v>
      </c>
      <c r="E213" t="s">
        <v>1447</v>
      </c>
      <c r="F213" t="s">
        <v>1857</v>
      </c>
      <c r="G213" t="s">
        <v>1741</v>
      </c>
      <c r="H213" t="s">
        <v>2314</v>
      </c>
      <c r="I213" t="s">
        <v>2279</v>
      </c>
      <c r="J213" t="s">
        <v>2279</v>
      </c>
      <c r="K213" t="s">
        <v>2279</v>
      </c>
      <c r="L213" t="s">
        <v>2279</v>
      </c>
      <c r="M213" t="s">
        <v>2279</v>
      </c>
      <c r="N213" t="s">
        <v>2279</v>
      </c>
      <c r="O213" s="190" t="str">
        <f t="shared" si="3"/>
        <v>[S05_DefaultValues][1][FuelMaterialType]</v>
      </c>
    </row>
    <row r="214" spans="1:15" x14ac:dyDescent="0.3">
      <c r="A214" t="s">
        <v>2277</v>
      </c>
      <c r="B214" t="s">
        <v>1847</v>
      </c>
      <c r="C214" t="s">
        <v>1855</v>
      </c>
      <c r="D214">
        <v>2</v>
      </c>
      <c r="E214" t="s">
        <v>1447</v>
      </c>
      <c r="F214" t="s">
        <v>1857</v>
      </c>
      <c r="G214" t="s">
        <v>1741</v>
      </c>
      <c r="H214" t="s">
        <v>2315</v>
      </c>
      <c r="I214" t="s">
        <v>2279</v>
      </c>
      <c r="J214" t="s">
        <v>2279</v>
      </c>
      <c r="K214" t="s">
        <v>2279</v>
      </c>
      <c r="L214" t="s">
        <v>2279</v>
      </c>
      <c r="M214" t="s">
        <v>2279</v>
      </c>
      <c r="N214" t="s">
        <v>2279</v>
      </c>
      <c r="O214" s="190" t="str">
        <f t="shared" si="3"/>
        <v>[S05_DefaultValues][2][FuelMaterialType]</v>
      </c>
    </row>
    <row r="215" spans="1:15" x14ac:dyDescent="0.3">
      <c r="A215" t="s">
        <v>2277</v>
      </c>
      <c r="B215" t="s">
        <v>1847</v>
      </c>
      <c r="C215" t="s">
        <v>1855</v>
      </c>
      <c r="D215">
        <v>3</v>
      </c>
      <c r="E215" t="s">
        <v>1447</v>
      </c>
      <c r="F215" t="s">
        <v>1857</v>
      </c>
      <c r="G215" t="s">
        <v>1741</v>
      </c>
      <c r="H215" t="s">
        <v>2316</v>
      </c>
      <c r="I215" t="s">
        <v>2279</v>
      </c>
      <c r="J215" t="s">
        <v>2279</v>
      </c>
      <c r="K215" t="s">
        <v>2279</v>
      </c>
      <c r="L215" t="s">
        <v>2279</v>
      </c>
      <c r="M215" t="s">
        <v>2279</v>
      </c>
      <c r="N215" t="s">
        <v>2279</v>
      </c>
      <c r="O215" s="190" t="str">
        <f t="shared" si="3"/>
        <v>[S05_DefaultValues][3][FuelMaterialType]</v>
      </c>
    </row>
    <row r="216" spans="1:15" x14ac:dyDescent="0.3">
      <c r="A216" t="s">
        <v>2277</v>
      </c>
      <c r="B216" t="s">
        <v>1847</v>
      </c>
      <c r="C216" t="s">
        <v>1855</v>
      </c>
      <c r="D216">
        <v>4</v>
      </c>
      <c r="E216" t="s">
        <v>1447</v>
      </c>
      <c r="F216" t="s">
        <v>1857</v>
      </c>
      <c r="G216" t="s">
        <v>1741</v>
      </c>
      <c r="H216" t="s">
        <v>2315</v>
      </c>
      <c r="I216" t="s">
        <v>2279</v>
      </c>
      <c r="J216" t="s">
        <v>2279</v>
      </c>
      <c r="K216" t="s">
        <v>2279</v>
      </c>
      <c r="L216" t="s">
        <v>2279</v>
      </c>
      <c r="M216" t="s">
        <v>2279</v>
      </c>
      <c r="N216" t="s">
        <v>2279</v>
      </c>
      <c r="O216" s="190" t="str">
        <f t="shared" si="3"/>
        <v>[S05_DefaultValues][4][FuelMaterialType]</v>
      </c>
    </row>
    <row r="217" spans="1:15" x14ac:dyDescent="0.3">
      <c r="A217" t="s">
        <v>2277</v>
      </c>
      <c r="B217" t="s">
        <v>1847</v>
      </c>
      <c r="C217" t="s">
        <v>1855</v>
      </c>
      <c r="D217">
        <v>1</v>
      </c>
      <c r="E217" t="s">
        <v>1447</v>
      </c>
      <c r="F217" t="s">
        <v>1858</v>
      </c>
      <c r="G217" t="s">
        <v>1748</v>
      </c>
      <c r="H217" t="s">
        <v>2279</v>
      </c>
      <c r="I217">
        <v>1</v>
      </c>
      <c r="J217" t="s">
        <v>2279</v>
      </c>
      <c r="K217" t="s">
        <v>2279</v>
      </c>
      <c r="L217" t="s">
        <v>2279</v>
      </c>
      <c r="M217" t="s">
        <v>2279</v>
      </c>
      <c r="N217" t="s">
        <v>2279</v>
      </c>
      <c r="O217" s="190" t="str">
        <f t="shared" si="3"/>
        <v>[S05_DefaultValues][1][InstallationNumber]</v>
      </c>
    </row>
    <row r="218" spans="1:15" x14ac:dyDescent="0.3">
      <c r="A218" t="s">
        <v>2277</v>
      </c>
      <c r="B218" t="s">
        <v>1847</v>
      </c>
      <c r="C218" t="s">
        <v>1855</v>
      </c>
      <c r="D218">
        <v>2</v>
      </c>
      <c r="E218" t="s">
        <v>1447</v>
      </c>
      <c r="F218" t="s">
        <v>1858</v>
      </c>
      <c r="G218" t="s">
        <v>1748</v>
      </c>
      <c r="H218" t="s">
        <v>2279</v>
      </c>
      <c r="I218">
        <v>1</v>
      </c>
      <c r="J218" t="s">
        <v>2279</v>
      </c>
      <c r="K218" t="s">
        <v>2279</v>
      </c>
      <c r="L218" t="s">
        <v>2279</v>
      </c>
      <c r="M218" t="s">
        <v>2279</v>
      </c>
      <c r="N218" t="s">
        <v>2279</v>
      </c>
      <c r="O218" s="190" t="str">
        <f t="shared" si="3"/>
        <v>[S05_DefaultValues][2][InstallationNumber]</v>
      </c>
    </row>
    <row r="219" spans="1:15" x14ac:dyDescent="0.3">
      <c r="A219" t="s">
        <v>2277</v>
      </c>
      <c r="B219" t="s">
        <v>1847</v>
      </c>
      <c r="C219" t="s">
        <v>1855</v>
      </c>
      <c r="D219">
        <v>3</v>
      </c>
      <c r="E219" t="s">
        <v>1447</v>
      </c>
      <c r="F219" t="s">
        <v>1858</v>
      </c>
      <c r="G219" t="s">
        <v>1748</v>
      </c>
      <c r="H219" t="s">
        <v>2279</v>
      </c>
      <c r="I219">
        <v>2</v>
      </c>
      <c r="J219" t="s">
        <v>2279</v>
      </c>
      <c r="K219" t="s">
        <v>2279</v>
      </c>
      <c r="L219" t="s">
        <v>2279</v>
      </c>
      <c r="M219" t="s">
        <v>2279</v>
      </c>
      <c r="N219" t="s">
        <v>2279</v>
      </c>
      <c r="O219" s="190" t="str">
        <f t="shared" si="3"/>
        <v>[S05_DefaultValues][3][InstallationNumber]</v>
      </c>
    </row>
    <row r="220" spans="1:15" x14ac:dyDescent="0.3">
      <c r="A220" t="s">
        <v>2277</v>
      </c>
      <c r="B220" t="s">
        <v>1847</v>
      </c>
      <c r="C220" t="s">
        <v>1855</v>
      </c>
      <c r="D220">
        <v>4</v>
      </c>
      <c r="E220" t="s">
        <v>1447</v>
      </c>
      <c r="F220" t="s">
        <v>1858</v>
      </c>
      <c r="G220" t="s">
        <v>1748</v>
      </c>
      <c r="H220" t="s">
        <v>2279</v>
      </c>
      <c r="I220">
        <v>1</v>
      </c>
      <c r="J220" t="s">
        <v>2279</v>
      </c>
      <c r="K220" t="s">
        <v>2279</v>
      </c>
      <c r="L220" t="s">
        <v>2279</v>
      </c>
      <c r="M220" t="s">
        <v>2279</v>
      </c>
      <c r="N220" t="s">
        <v>2279</v>
      </c>
      <c r="O220" s="190" t="str">
        <f t="shared" si="3"/>
        <v>[S05_DefaultValues][4][InstallationNumber]</v>
      </c>
    </row>
    <row r="221" spans="1:15" x14ac:dyDescent="0.3">
      <c r="A221" t="s">
        <v>2277</v>
      </c>
      <c r="B221" t="s">
        <v>1847</v>
      </c>
      <c r="C221" t="s">
        <v>1855</v>
      </c>
      <c r="D221">
        <v>5</v>
      </c>
      <c r="E221" t="s">
        <v>1447</v>
      </c>
      <c r="F221" t="s">
        <v>1858</v>
      </c>
      <c r="G221" t="s">
        <v>1748</v>
      </c>
      <c r="H221" t="s">
        <v>2279</v>
      </c>
      <c r="I221">
        <v>0</v>
      </c>
      <c r="J221" t="s">
        <v>2279</v>
      </c>
      <c r="K221" t="s">
        <v>2279</v>
      </c>
      <c r="L221" t="s">
        <v>2279</v>
      </c>
      <c r="M221" t="s">
        <v>2279</v>
      </c>
      <c r="N221" t="s">
        <v>2279</v>
      </c>
      <c r="O221" s="190" t="str">
        <f t="shared" si="3"/>
        <v>[S05_DefaultValues][5][InstallationNumber]</v>
      </c>
    </row>
    <row r="222" spans="1:15" x14ac:dyDescent="0.3">
      <c r="A222" t="s">
        <v>2277</v>
      </c>
      <c r="B222" t="s">
        <v>1866</v>
      </c>
      <c r="C222" t="s">
        <v>1867</v>
      </c>
      <c r="D222">
        <v>1</v>
      </c>
      <c r="E222" t="s">
        <v>1447</v>
      </c>
      <c r="F222" t="s">
        <v>1868</v>
      </c>
      <c r="G222" t="s">
        <v>1741</v>
      </c>
      <c r="H222" t="s">
        <v>2317</v>
      </c>
      <c r="I222" t="s">
        <v>2279</v>
      </c>
      <c r="J222" t="s">
        <v>2279</v>
      </c>
      <c r="K222" t="s">
        <v>2279</v>
      </c>
      <c r="L222" t="s">
        <v>2279</v>
      </c>
      <c r="M222" t="s">
        <v>2279</v>
      </c>
      <c r="N222" t="s">
        <v>2279</v>
      </c>
      <c r="O222" s="190" t="str">
        <f t="shared" si="3"/>
        <v>[S05_CategoryCHighestTierNotApplied][1][InstallationID]</v>
      </c>
    </row>
    <row r="223" spans="1:15" x14ac:dyDescent="0.3">
      <c r="A223" t="s">
        <v>2277</v>
      </c>
      <c r="B223" t="s">
        <v>1866</v>
      </c>
      <c r="C223" t="s">
        <v>1867</v>
      </c>
      <c r="D223">
        <v>2</v>
      </c>
      <c r="E223" t="s">
        <v>1447</v>
      </c>
      <c r="F223" t="s">
        <v>1868</v>
      </c>
      <c r="G223" t="s">
        <v>1741</v>
      </c>
      <c r="H223" t="s">
        <v>2317</v>
      </c>
      <c r="I223" t="s">
        <v>2279</v>
      </c>
      <c r="J223" t="s">
        <v>2279</v>
      </c>
      <c r="K223" t="s">
        <v>2279</v>
      </c>
      <c r="L223" t="s">
        <v>2279</v>
      </c>
      <c r="M223" t="s">
        <v>2279</v>
      </c>
      <c r="N223" t="s">
        <v>2279</v>
      </c>
      <c r="O223" s="190" t="str">
        <f t="shared" si="3"/>
        <v>[S05_CategoryCHighestTierNotApplied][2][InstallationID]</v>
      </c>
    </row>
    <row r="224" spans="1:15" x14ac:dyDescent="0.3">
      <c r="A224" t="s">
        <v>2277</v>
      </c>
      <c r="B224" t="s">
        <v>1866</v>
      </c>
      <c r="C224" t="s">
        <v>1867</v>
      </c>
      <c r="D224">
        <v>1</v>
      </c>
      <c r="E224" t="s">
        <v>1447</v>
      </c>
      <c r="F224" t="s">
        <v>1870</v>
      </c>
      <c r="G224" t="s">
        <v>1741</v>
      </c>
      <c r="H224" t="s">
        <v>2316</v>
      </c>
      <c r="I224" t="s">
        <v>2279</v>
      </c>
      <c r="J224" t="s">
        <v>2279</v>
      </c>
      <c r="K224" t="s">
        <v>2279</v>
      </c>
      <c r="L224" t="s">
        <v>2279</v>
      </c>
      <c r="M224" t="s">
        <v>2279</v>
      </c>
      <c r="N224" t="s">
        <v>2279</v>
      </c>
      <c r="O224" s="190" t="str">
        <f t="shared" si="3"/>
        <v>[S05_CategoryCHighestTierNotApplied][1][EmissionSourceAffected]</v>
      </c>
    </row>
    <row r="225" spans="1:15" x14ac:dyDescent="0.3">
      <c r="A225" t="s">
        <v>2277</v>
      </c>
      <c r="B225" t="s">
        <v>1866</v>
      </c>
      <c r="C225" t="s">
        <v>1867</v>
      </c>
      <c r="D225">
        <v>2</v>
      </c>
      <c r="E225" t="s">
        <v>1447</v>
      </c>
      <c r="F225" t="s">
        <v>1870</v>
      </c>
      <c r="G225" t="s">
        <v>1741</v>
      </c>
      <c r="H225" t="s">
        <v>2316</v>
      </c>
      <c r="I225" t="s">
        <v>2279</v>
      </c>
      <c r="J225" t="s">
        <v>2279</v>
      </c>
      <c r="K225" t="s">
        <v>2279</v>
      </c>
      <c r="L225" t="s">
        <v>2279</v>
      </c>
      <c r="M225" t="s">
        <v>2279</v>
      </c>
      <c r="N225" t="s">
        <v>2279</v>
      </c>
      <c r="O225" s="190" t="str">
        <f t="shared" si="3"/>
        <v>[S05_CategoryCHighestTierNotApplied][2][EmissionSourceAffected]</v>
      </c>
    </row>
    <row r="226" spans="1:15" x14ac:dyDescent="0.3">
      <c r="A226" t="s">
        <v>2277</v>
      </c>
      <c r="B226" t="s">
        <v>1866</v>
      </c>
      <c r="C226" t="s">
        <v>1867</v>
      </c>
      <c r="D226">
        <v>1</v>
      </c>
      <c r="E226" t="s">
        <v>1447</v>
      </c>
      <c r="F226" t="s">
        <v>1871</v>
      </c>
      <c r="G226" t="s">
        <v>1737</v>
      </c>
      <c r="H226" t="s">
        <v>2279</v>
      </c>
      <c r="I226" t="s">
        <v>2279</v>
      </c>
      <c r="J226" t="s">
        <v>2279</v>
      </c>
      <c r="K226" t="s">
        <v>2279</v>
      </c>
      <c r="L226" t="s">
        <v>1484</v>
      </c>
      <c r="M226" t="s">
        <v>2279</v>
      </c>
      <c r="N226" t="s">
        <v>2279</v>
      </c>
      <c r="O226" s="190" t="str">
        <f t="shared" si="3"/>
        <v>[S05_CategoryCHighestTierNotApplied][1][MonitoringParameterAffected]</v>
      </c>
    </row>
    <row r="227" spans="1:15" x14ac:dyDescent="0.3">
      <c r="A227" t="s">
        <v>2277</v>
      </c>
      <c r="B227" t="s">
        <v>1866</v>
      </c>
      <c r="C227" t="s">
        <v>1867</v>
      </c>
      <c r="D227">
        <v>2</v>
      </c>
      <c r="E227" t="s">
        <v>1447</v>
      </c>
      <c r="F227" t="s">
        <v>1871</v>
      </c>
      <c r="G227" t="s">
        <v>1737</v>
      </c>
      <c r="H227" t="s">
        <v>2279</v>
      </c>
      <c r="I227" t="s">
        <v>2279</v>
      </c>
      <c r="J227" t="s">
        <v>2279</v>
      </c>
      <c r="K227" t="s">
        <v>2279</v>
      </c>
      <c r="L227" t="s">
        <v>1506</v>
      </c>
      <c r="M227" t="s">
        <v>2279</v>
      </c>
      <c r="N227" t="s">
        <v>2279</v>
      </c>
      <c r="O227" s="190" t="str">
        <f t="shared" si="3"/>
        <v>[S05_CategoryCHighestTierNotApplied][2][MonitoringParameterAffected]</v>
      </c>
    </row>
    <row r="228" spans="1:15" x14ac:dyDescent="0.3">
      <c r="A228" t="s">
        <v>2277</v>
      </c>
      <c r="B228" t="s">
        <v>1866</v>
      </c>
      <c r="C228" t="s">
        <v>1867</v>
      </c>
      <c r="D228">
        <v>1</v>
      </c>
      <c r="E228" t="s">
        <v>1447</v>
      </c>
      <c r="F228" t="s">
        <v>1872</v>
      </c>
      <c r="G228" t="s">
        <v>1737</v>
      </c>
      <c r="H228" t="s">
        <v>2279</v>
      </c>
      <c r="I228" t="s">
        <v>2279</v>
      </c>
      <c r="J228" t="s">
        <v>2279</v>
      </c>
      <c r="K228" t="s">
        <v>2279</v>
      </c>
      <c r="L228" t="s">
        <v>1534</v>
      </c>
      <c r="M228" t="s">
        <v>2279</v>
      </c>
      <c r="N228" t="s">
        <v>2279</v>
      </c>
      <c r="O228" s="190" t="str">
        <f t="shared" si="3"/>
        <v>[S05_CategoryCHighestTierNotApplied][1][HighestTierRequired]</v>
      </c>
    </row>
    <row r="229" spans="1:15" x14ac:dyDescent="0.3">
      <c r="A229" t="s">
        <v>2277</v>
      </c>
      <c r="B229" t="s">
        <v>1866</v>
      </c>
      <c r="C229" t="s">
        <v>1867</v>
      </c>
      <c r="D229">
        <v>2</v>
      </c>
      <c r="E229" t="s">
        <v>1447</v>
      </c>
      <c r="F229" t="s">
        <v>1872</v>
      </c>
      <c r="G229" t="s">
        <v>1737</v>
      </c>
      <c r="H229" t="s">
        <v>2279</v>
      </c>
      <c r="I229" t="s">
        <v>2279</v>
      </c>
      <c r="J229" t="s">
        <v>2279</v>
      </c>
      <c r="K229" t="s">
        <v>2279</v>
      </c>
      <c r="L229" t="s">
        <v>1534</v>
      </c>
      <c r="M229" t="s">
        <v>2279</v>
      </c>
      <c r="N229" t="s">
        <v>2279</v>
      </c>
      <c r="O229" s="190" t="str">
        <f t="shared" si="3"/>
        <v>[S05_CategoryCHighestTierNotApplied][2][HighestTierRequired]</v>
      </c>
    </row>
    <row r="230" spans="1:15" x14ac:dyDescent="0.3">
      <c r="A230" t="s">
        <v>2277</v>
      </c>
      <c r="B230" t="s">
        <v>1866</v>
      </c>
      <c r="C230" t="s">
        <v>1867</v>
      </c>
      <c r="D230">
        <v>1</v>
      </c>
      <c r="E230" t="s">
        <v>1447</v>
      </c>
      <c r="F230" t="s">
        <v>1873</v>
      </c>
      <c r="G230" t="s">
        <v>1737</v>
      </c>
      <c r="H230" t="s">
        <v>2279</v>
      </c>
      <c r="I230" t="s">
        <v>2279</v>
      </c>
      <c r="J230" t="s">
        <v>2279</v>
      </c>
      <c r="K230" t="s">
        <v>2279</v>
      </c>
      <c r="L230" t="s">
        <v>1522</v>
      </c>
      <c r="M230" t="s">
        <v>2279</v>
      </c>
      <c r="N230" t="s">
        <v>2279</v>
      </c>
      <c r="O230" s="190" t="str">
        <f t="shared" si="3"/>
        <v>[S05_CategoryCHighestTierNotApplied][1][TierInPractice]</v>
      </c>
    </row>
    <row r="231" spans="1:15" x14ac:dyDescent="0.3">
      <c r="A231" t="s">
        <v>2277</v>
      </c>
      <c r="B231" t="s">
        <v>1866</v>
      </c>
      <c r="C231" t="s">
        <v>1867</v>
      </c>
      <c r="D231">
        <v>2</v>
      </c>
      <c r="E231" t="s">
        <v>1447</v>
      </c>
      <c r="F231" t="s">
        <v>1873</v>
      </c>
      <c r="G231" t="s">
        <v>1737</v>
      </c>
      <c r="H231" t="s">
        <v>2279</v>
      </c>
      <c r="I231" t="s">
        <v>2279</v>
      </c>
      <c r="J231" t="s">
        <v>2279</v>
      </c>
      <c r="K231" t="s">
        <v>2279</v>
      </c>
      <c r="L231" t="s">
        <v>1507</v>
      </c>
      <c r="M231" t="s">
        <v>2279</v>
      </c>
      <c r="N231" t="s">
        <v>2279</v>
      </c>
      <c r="O231" s="190" t="str">
        <f t="shared" si="3"/>
        <v>[S05_CategoryCHighestTierNotApplied][2][TierInPractice]</v>
      </c>
    </row>
    <row r="232" spans="1:15" x14ac:dyDescent="0.3">
      <c r="A232" t="s">
        <v>2277</v>
      </c>
      <c r="B232" t="s">
        <v>1874</v>
      </c>
      <c r="C232" t="s">
        <v>1875</v>
      </c>
      <c r="D232">
        <v>1</v>
      </c>
      <c r="E232" t="s">
        <v>1447</v>
      </c>
      <c r="F232" t="s">
        <v>1876</v>
      </c>
      <c r="G232" t="s">
        <v>1737</v>
      </c>
      <c r="H232" t="s">
        <v>2279</v>
      </c>
      <c r="I232" t="s">
        <v>2279</v>
      </c>
      <c r="J232" t="s">
        <v>2279</v>
      </c>
      <c r="K232" t="s">
        <v>2279</v>
      </c>
      <c r="L232" t="s">
        <v>1430</v>
      </c>
      <c r="M232" t="s">
        <v>2279</v>
      </c>
      <c r="N232" t="s">
        <v>2279</v>
      </c>
      <c r="O232" s="190" t="str">
        <f t="shared" si="3"/>
        <v>[S05_CategoryBHighestTierNotApplied][1][MonitoringMethodology]</v>
      </c>
    </row>
    <row r="233" spans="1:15" x14ac:dyDescent="0.3">
      <c r="A233" t="s">
        <v>2277</v>
      </c>
      <c r="B233" t="s">
        <v>1874</v>
      </c>
      <c r="C233" t="s">
        <v>1875</v>
      </c>
      <c r="D233">
        <v>2</v>
      </c>
      <c r="E233" t="s">
        <v>1447</v>
      </c>
      <c r="F233" t="s">
        <v>1876</v>
      </c>
      <c r="G233" t="s">
        <v>1737</v>
      </c>
      <c r="H233" t="s">
        <v>2279</v>
      </c>
      <c r="I233" t="s">
        <v>2279</v>
      </c>
      <c r="J233" t="s">
        <v>2279</v>
      </c>
      <c r="K233" t="s">
        <v>2279</v>
      </c>
      <c r="L233" t="s">
        <v>1430</v>
      </c>
      <c r="M233" t="s">
        <v>2279</v>
      </c>
      <c r="N233" t="s">
        <v>2279</v>
      </c>
      <c r="O233" s="190" t="str">
        <f t="shared" si="3"/>
        <v>[S05_CategoryBHighestTierNotApplied][2][MonitoringMethodology]</v>
      </c>
    </row>
    <row r="234" spans="1:15" x14ac:dyDescent="0.3">
      <c r="A234" t="s">
        <v>2277</v>
      </c>
      <c r="B234" t="s">
        <v>1874</v>
      </c>
      <c r="C234" t="s">
        <v>1875</v>
      </c>
      <c r="D234">
        <v>3</v>
      </c>
      <c r="E234" t="s">
        <v>1447</v>
      </c>
      <c r="F234" t="s">
        <v>1876</v>
      </c>
      <c r="G234" t="s">
        <v>1737</v>
      </c>
      <c r="H234" t="s">
        <v>2279</v>
      </c>
      <c r="I234" t="s">
        <v>2279</v>
      </c>
      <c r="J234" t="s">
        <v>2279</v>
      </c>
      <c r="K234" t="s">
        <v>2279</v>
      </c>
      <c r="L234" t="s">
        <v>1430</v>
      </c>
      <c r="M234" t="s">
        <v>2279</v>
      </c>
      <c r="N234" t="s">
        <v>2279</v>
      </c>
      <c r="O234" s="190" t="str">
        <f t="shared" si="3"/>
        <v>[S05_CategoryBHighestTierNotApplied][3][MonitoringMethodology]</v>
      </c>
    </row>
    <row r="235" spans="1:15" x14ac:dyDescent="0.3">
      <c r="A235" t="s">
        <v>2277</v>
      </c>
      <c r="B235" t="s">
        <v>1874</v>
      </c>
      <c r="C235" t="s">
        <v>1875</v>
      </c>
      <c r="D235">
        <v>4</v>
      </c>
      <c r="E235" t="s">
        <v>1447</v>
      </c>
      <c r="F235" t="s">
        <v>1876</v>
      </c>
      <c r="G235" t="s">
        <v>1737</v>
      </c>
      <c r="H235" t="s">
        <v>2279</v>
      </c>
      <c r="I235" t="s">
        <v>2279</v>
      </c>
      <c r="J235" t="s">
        <v>2279</v>
      </c>
      <c r="K235" t="s">
        <v>2279</v>
      </c>
      <c r="L235" t="s">
        <v>1430</v>
      </c>
      <c r="M235" t="s">
        <v>2279</v>
      </c>
      <c r="N235" t="s">
        <v>2279</v>
      </c>
      <c r="O235" s="190" t="str">
        <f t="shared" si="3"/>
        <v>[S05_CategoryBHighestTierNotApplied][4][MonitoringMethodology]</v>
      </c>
    </row>
    <row r="236" spans="1:15" x14ac:dyDescent="0.3">
      <c r="A236" t="s">
        <v>2277</v>
      </c>
      <c r="B236" t="s">
        <v>1874</v>
      </c>
      <c r="C236" t="s">
        <v>1875</v>
      </c>
      <c r="D236">
        <v>1</v>
      </c>
      <c r="E236" t="s">
        <v>1447</v>
      </c>
      <c r="F236" t="s">
        <v>1877</v>
      </c>
      <c r="G236" t="s">
        <v>1737</v>
      </c>
      <c r="H236" t="s">
        <v>2279</v>
      </c>
      <c r="I236" t="s">
        <v>2279</v>
      </c>
      <c r="J236" t="s">
        <v>2279</v>
      </c>
      <c r="K236" t="s">
        <v>2279</v>
      </c>
      <c r="L236" t="s">
        <v>1562</v>
      </c>
      <c r="M236" t="s">
        <v>2279</v>
      </c>
      <c r="N236" t="s">
        <v>2279</v>
      </c>
      <c r="O236" s="190" t="str">
        <f t="shared" si="3"/>
        <v>[S05_CategoryBHighestTierNotApplied][1][CategoryBMainActivity]</v>
      </c>
    </row>
    <row r="237" spans="1:15" x14ac:dyDescent="0.3">
      <c r="A237" t="s">
        <v>2277</v>
      </c>
      <c r="B237" t="s">
        <v>1874</v>
      </c>
      <c r="C237" t="s">
        <v>1875</v>
      </c>
      <c r="D237">
        <v>2</v>
      </c>
      <c r="E237" t="s">
        <v>1447</v>
      </c>
      <c r="F237" t="s">
        <v>1877</v>
      </c>
      <c r="G237" t="s">
        <v>1737</v>
      </c>
      <c r="H237" t="s">
        <v>2279</v>
      </c>
      <c r="I237" t="s">
        <v>2279</v>
      </c>
      <c r="J237" t="s">
        <v>2279</v>
      </c>
      <c r="K237" t="s">
        <v>2279</v>
      </c>
      <c r="L237" t="s">
        <v>1568</v>
      </c>
      <c r="M237" t="s">
        <v>2279</v>
      </c>
      <c r="N237" t="s">
        <v>2279</v>
      </c>
      <c r="O237" s="190" t="str">
        <f t="shared" si="3"/>
        <v>[S05_CategoryBHighestTierNotApplied][2][CategoryBMainActivity]</v>
      </c>
    </row>
    <row r="238" spans="1:15" x14ac:dyDescent="0.3">
      <c r="A238" t="s">
        <v>2277</v>
      </c>
      <c r="B238" t="s">
        <v>1874</v>
      </c>
      <c r="C238" t="s">
        <v>1875</v>
      </c>
      <c r="D238">
        <v>3</v>
      </c>
      <c r="E238" t="s">
        <v>1447</v>
      </c>
      <c r="F238" t="s">
        <v>1877</v>
      </c>
      <c r="G238" t="s">
        <v>1737</v>
      </c>
      <c r="H238" t="s">
        <v>2279</v>
      </c>
      <c r="I238" t="s">
        <v>2279</v>
      </c>
      <c r="J238" t="s">
        <v>2279</v>
      </c>
      <c r="K238" t="s">
        <v>2279</v>
      </c>
      <c r="L238" t="s">
        <v>1420</v>
      </c>
      <c r="M238" t="s">
        <v>2279</v>
      </c>
      <c r="N238" t="s">
        <v>2279</v>
      </c>
      <c r="O238" s="190" t="str">
        <f t="shared" si="3"/>
        <v>[S05_CategoryBHighestTierNotApplied][3][CategoryBMainActivity]</v>
      </c>
    </row>
    <row r="239" spans="1:15" x14ac:dyDescent="0.3">
      <c r="A239" t="s">
        <v>2277</v>
      </c>
      <c r="B239" t="s">
        <v>1874</v>
      </c>
      <c r="C239" t="s">
        <v>1875</v>
      </c>
      <c r="D239">
        <v>4</v>
      </c>
      <c r="E239" t="s">
        <v>1447</v>
      </c>
      <c r="F239" t="s">
        <v>1877</v>
      </c>
      <c r="G239" t="s">
        <v>1737</v>
      </c>
      <c r="H239" t="s">
        <v>2279</v>
      </c>
      <c r="I239" t="s">
        <v>2279</v>
      </c>
      <c r="J239" t="s">
        <v>2279</v>
      </c>
      <c r="K239" t="s">
        <v>2279</v>
      </c>
      <c r="L239" t="s">
        <v>1573</v>
      </c>
      <c r="M239" t="s">
        <v>2279</v>
      </c>
      <c r="N239" t="s">
        <v>2279</v>
      </c>
      <c r="O239" s="190" t="str">
        <f t="shared" si="3"/>
        <v>[S05_CategoryBHighestTierNotApplied][4][CategoryBMainActivity]</v>
      </c>
    </row>
    <row r="240" spans="1:15" x14ac:dyDescent="0.3">
      <c r="A240" t="s">
        <v>2277</v>
      </c>
      <c r="B240" t="s">
        <v>1874</v>
      </c>
      <c r="C240" t="s">
        <v>1875</v>
      </c>
      <c r="D240">
        <v>1</v>
      </c>
      <c r="E240" t="s">
        <v>1447</v>
      </c>
      <c r="F240" t="s">
        <v>1878</v>
      </c>
      <c r="G240" t="s">
        <v>1748</v>
      </c>
      <c r="H240" t="s">
        <v>2279</v>
      </c>
      <c r="I240">
        <v>1</v>
      </c>
      <c r="J240" t="s">
        <v>2279</v>
      </c>
      <c r="K240" t="s">
        <v>2279</v>
      </c>
      <c r="L240" t="s">
        <v>2279</v>
      </c>
      <c r="M240" t="s">
        <v>2279</v>
      </c>
      <c r="N240" t="s">
        <v>2279</v>
      </c>
      <c r="O240" s="190" t="str">
        <f t="shared" si="3"/>
        <v>[S05_CategoryBHighestTierNotApplied][1][CategoryBInstallationsAffected]</v>
      </c>
    </row>
    <row r="241" spans="1:15" x14ac:dyDescent="0.3">
      <c r="A241" t="s">
        <v>2277</v>
      </c>
      <c r="B241" t="s">
        <v>1874</v>
      </c>
      <c r="C241" t="s">
        <v>1875</v>
      </c>
      <c r="D241">
        <v>2</v>
      </c>
      <c r="E241" t="s">
        <v>1447</v>
      </c>
      <c r="F241" t="s">
        <v>1878</v>
      </c>
      <c r="G241" t="s">
        <v>1748</v>
      </c>
      <c r="H241" t="s">
        <v>2279</v>
      </c>
      <c r="I241">
        <v>1</v>
      </c>
      <c r="J241" t="s">
        <v>2279</v>
      </c>
      <c r="K241" t="s">
        <v>2279</v>
      </c>
      <c r="L241" t="s">
        <v>2279</v>
      </c>
      <c r="M241" t="s">
        <v>2279</v>
      </c>
      <c r="N241" t="s">
        <v>2279</v>
      </c>
      <c r="O241" s="190" t="str">
        <f t="shared" si="3"/>
        <v>[S05_CategoryBHighestTierNotApplied][2][CategoryBInstallationsAffected]</v>
      </c>
    </row>
    <row r="242" spans="1:15" x14ac:dyDescent="0.3">
      <c r="A242" t="s">
        <v>2277</v>
      </c>
      <c r="B242" t="s">
        <v>1874</v>
      </c>
      <c r="C242" t="s">
        <v>1875</v>
      </c>
      <c r="D242">
        <v>3</v>
      </c>
      <c r="E242" t="s">
        <v>1447</v>
      </c>
      <c r="F242" t="s">
        <v>1878</v>
      </c>
      <c r="G242" t="s">
        <v>1748</v>
      </c>
      <c r="H242" t="s">
        <v>2279</v>
      </c>
      <c r="I242">
        <v>1</v>
      </c>
      <c r="J242" t="s">
        <v>2279</v>
      </c>
      <c r="K242" t="s">
        <v>2279</v>
      </c>
      <c r="L242" t="s">
        <v>2279</v>
      </c>
      <c r="M242" t="s">
        <v>2279</v>
      </c>
      <c r="N242" t="s">
        <v>2279</v>
      </c>
      <c r="O242" s="190" t="str">
        <f t="shared" si="3"/>
        <v>[S05_CategoryBHighestTierNotApplied][3][CategoryBInstallationsAffected]</v>
      </c>
    </row>
    <row r="243" spans="1:15" x14ac:dyDescent="0.3">
      <c r="A243" t="s">
        <v>2277</v>
      </c>
      <c r="B243" t="s">
        <v>1874</v>
      </c>
      <c r="C243" t="s">
        <v>1875</v>
      </c>
      <c r="D243">
        <v>4</v>
      </c>
      <c r="E243" t="s">
        <v>1447</v>
      </c>
      <c r="F243" t="s">
        <v>1878</v>
      </c>
      <c r="G243" t="s">
        <v>1748</v>
      </c>
      <c r="H243" t="s">
        <v>2279</v>
      </c>
      <c r="I243">
        <v>1</v>
      </c>
      <c r="J243" t="s">
        <v>2279</v>
      </c>
      <c r="K243" t="s">
        <v>2279</v>
      </c>
      <c r="L243" t="s">
        <v>2279</v>
      </c>
      <c r="M243" t="s">
        <v>2279</v>
      </c>
      <c r="N243" t="s">
        <v>2279</v>
      </c>
      <c r="O243" s="190" t="str">
        <f t="shared" si="3"/>
        <v>[S05_CategoryBHighestTierNotApplied][4][CategoryBInstallationsAffected]</v>
      </c>
    </row>
    <row r="244" spans="1:15" x14ac:dyDescent="0.3">
      <c r="A244" t="s">
        <v>2277</v>
      </c>
      <c r="B244" t="s">
        <v>1879</v>
      </c>
      <c r="C244" t="s">
        <v>1880</v>
      </c>
      <c r="D244">
        <v>0</v>
      </c>
      <c r="E244" t="s">
        <v>1447</v>
      </c>
      <c r="F244" t="s">
        <v>1880</v>
      </c>
      <c r="G244" t="s">
        <v>1759</v>
      </c>
      <c r="H244" t="s">
        <v>2279</v>
      </c>
      <c r="I244" t="s">
        <v>2279</v>
      </c>
      <c r="J244" t="s">
        <v>2279</v>
      </c>
      <c r="K244" t="s">
        <v>2279</v>
      </c>
      <c r="L244" t="s">
        <v>1419</v>
      </c>
      <c r="M244" t="s">
        <v>2279</v>
      </c>
      <c r="N244" t="s">
        <v>2279</v>
      </c>
      <c r="O244" s="190" t="str">
        <f t="shared" si="3"/>
        <v>[FallBackApproachApplied][0][FallBackApproachApplied]</v>
      </c>
    </row>
    <row r="245" spans="1:15" x14ac:dyDescent="0.3">
      <c r="A245" t="s">
        <v>2277</v>
      </c>
      <c r="B245" t="s">
        <v>1879</v>
      </c>
      <c r="C245" t="s">
        <v>1881</v>
      </c>
      <c r="D245">
        <v>1</v>
      </c>
      <c r="E245" t="s">
        <v>1447</v>
      </c>
      <c r="F245" t="s">
        <v>1882</v>
      </c>
      <c r="G245" t="s">
        <v>1741</v>
      </c>
      <c r="H245" t="s">
        <v>2318</v>
      </c>
      <c r="I245" t="s">
        <v>2279</v>
      </c>
      <c r="J245" t="s">
        <v>2279</v>
      </c>
      <c r="K245" t="s">
        <v>2279</v>
      </c>
      <c r="L245" t="s">
        <v>2279</v>
      </c>
      <c r="M245" t="s">
        <v>2279</v>
      </c>
      <c r="N245" t="s">
        <v>2279</v>
      </c>
      <c r="O245" s="190" t="str">
        <f t="shared" si="3"/>
        <v>[S05_FallBackApproachAppliedDetail][1][FallbackInstallationID]</v>
      </c>
    </row>
    <row r="246" spans="1:15" x14ac:dyDescent="0.3">
      <c r="A246" t="s">
        <v>2277</v>
      </c>
      <c r="B246" t="s">
        <v>1879</v>
      </c>
      <c r="C246" t="s">
        <v>1881</v>
      </c>
      <c r="D246">
        <v>1</v>
      </c>
      <c r="E246" t="s">
        <v>1447</v>
      </c>
      <c r="F246" t="s">
        <v>1883</v>
      </c>
      <c r="G246" t="s">
        <v>1737</v>
      </c>
      <c r="H246" t="s">
        <v>2279</v>
      </c>
      <c r="I246" t="s">
        <v>2279</v>
      </c>
      <c r="J246" t="s">
        <v>2279</v>
      </c>
      <c r="K246" t="s">
        <v>2279</v>
      </c>
      <c r="L246" t="s">
        <v>1459</v>
      </c>
      <c r="M246" t="s">
        <v>2279</v>
      </c>
      <c r="N246" t="s">
        <v>2279</v>
      </c>
      <c r="O246" s="190" t="str">
        <f t="shared" si="3"/>
        <v>[S05_FallBackApproachAppliedDetail][1][FallBackReason]</v>
      </c>
    </row>
    <row r="247" spans="1:15" x14ac:dyDescent="0.3">
      <c r="A247" t="s">
        <v>2277</v>
      </c>
      <c r="B247" t="s">
        <v>1879</v>
      </c>
      <c r="C247" t="s">
        <v>1881</v>
      </c>
      <c r="D247">
        <v>1</v>
      </c>
      <c r="E247" t="s">
        <v>1447</v>
      </c>
      <c r="F247" t="s">
        <v>1884</v>
      </c>
      <c r="G247" t="s">
        <v>1737</v>
      </c>
      <c r="H247" t="s">
        <v>2279</v>
      </c>
      <c r="I247" t="s">
        <v>2279</v>
      </c>
      <c r="J247" t="s">
        <v>2279</v>
      </c>
      <c r="K247" t="s">
        <v>2279</v>
      </c>
      <c r="L247" t="s">
        <v>1428</v>
      </c>
      <c r="M247" t="s">
        <v>2279</v>
      </c>
      <c r="N247" t="s">
        <v>2279</v>
      </c>
      <c r="O247" s="190" t="str">
        <f t="shared" si="3"/>
        <v>[S05_FallBackApproachAppliedDetail][1][ParameterNotTier1]</v>
      </c>
    </row>
    <row r="248" spans="1:15" x14ac:dyDescent="0.3">
      <c r="A248" t="s">
        <v>2277</v>
      </c>
      <c r="B248" t="s">
        <v>1879</v>
      </c>
      <c r="C248" t="s">
        <v>1881</v>
      </c>
      <c r="D248">
        <v>1</v>
      </c>
      <c r="E248" t="s">
        <v>1447</v>
      </c>
      <c r="F248" t="s">
        <v>1885</v>
      </c>
      <c r="G248" t="s">
        <v>1806</v>
      </c>
      <c r="H248" t="s">
        <v>2279</v>
      </c>
      <c r="I248" t="s">
        <v>2279</v>
      </c>
      <c r="J248">
        <v>9</v>
      </c>
      <c r="K248" t="s">
        <v>2279</v>
      </c>
      <c r="L248" t="s">
        <v>2279</v>
      </c>
      <c r="M248" t="s">
        <v>2279</v>
      </c>
      <c r="N248" t="s">
        <v>2279</v>
      </c>
      <c r="O248" s="190" t="str">
        <f t="shared" si="3"/>
        <v>[S05_FallBackApproachAppliedDetail][1][ParameterEmissions]</v>
      </c>
    </row>
    <row r="249" spans="1:15" x14ac:dyDescent="0.3">
      <c r="A249" t="s">
        <v>2277</v>
      </c>
      <c r="B249" t="s">
        <v>1886</v>
      </c>
      <c r="C249" t="s">
        <v>1887</v>
      </c>
      <c r="D249">
        <v>1</v>
      </c>
      <c r="E249" t="s">
        <v>1447</v>
      </c>
      <c r="F249" t="s">
        <v>1856</v>
      </c>
      <c r="G249" t="s">
        <v>1737</v>
      </c>
      <c r="H249" t="s">
        <v>2279</v>
      </c>
      <c r="I249" t="s">
        <v>2279</v>
      </c>
      <c r="J249" t="s">
        <v>2279</v>
      </c>
      <c r="K249" t="s">
        <v>2279</v>
      </c>
      <c r="L249" t="s">
        <v>1460</v>
      </c>
      <c r="M249" t="s">
        <v>2279</v>
      </c>
      <c r="N249" t="s">
        <v>2279</v>
      </c>
      <c r="O249" s="190" t="str">
        <f t="shared" si="3"/>
        <v>[S05_ImprovementReportArt69][1][InstallationCategory]</v>
      </c>
    </row>
    <row r="250" spans="1:15" x14ac:dyDescent="0.3">
      <c r="A250" t="s">
        <v>2277</v>
      </c>
      <c r="B250" t="s">
        <v>1886</v>
      </c>
      <c r="C250" t="s">
        <v>1887</v>
      </c>
      <c r="D250">
        <v>2</v>
      </c>
      <c r="E250" t="s">
        <v>1447</v>
      </c>
      <c r="F250" t="s">
        <v>1856</v>
      </c>
      <c r="G250" t="s">
        <v>1737</v>
      </c>
      <c r="H250" t="s">
        <v>2279</v>
      </c>
      <c r="I250" t="s">
        <v>2279</v>
      </c>
      <c r="J250" t="s">
        <v>2279</v>
      </c>
      <c r="K250" t="s">
        <v>2279</v>
      </c>
      <c r="L250" t="s">
        <v>1487</v>
      </c>
      <c r="M250" t="s">
        <v>2279</v>
      </c>
      <c r="N250" t="s">
        <v>2279</v>
      </c>
      <c r="O250" s="190" t="str">
        <f t="shared" si="3"/>
        <v>[S05_ImprovementReportArt69][2][InstallationCategory]</v>
      </c>
    </row>
    <row r="251" spans="1:15" x14ac:dyDescent="0.3">
      <c r="A251" t="s">
        <v>2277</v>
      </c>
      <c r="B251" t="s">
        <v>1886</v>
      </c>
      <c r="C251" t="s">
        <v>1887</v>
      </c>
      <c r="D251">
        <v>3</v>
      </c>
      <c r="E251" t="s">
        <v>1447</v>
      </c>
      <c r="F251" t="s">
        <v>1856</v>
      </c>
      <c r="G251" t="s">
        <v>1737</v>
      </c>
      <c r="H251" t="s">
        <v>2279</v>
      </c>
      <c r="I251" t="s">
        <v>2279</v>
      </c>
      <c r="J251" t="s">
        <v>2279</v>
      </c>
      <c r="K251" t="s">
        <v>2279</v>
      </c>
      <c r="L251" t="s">
        <v>1487</v>
      </c>
      <c r="M251" t="s">
        <v>2279</v>
      </c>
      <c r="N251" t="s">
        <v>2279</v>
      </c>
      <c r="O251" s="190" t="str">
        <f t="shared" si="3"/>
        <v>[S05_ImprovementReportArt69][3][InstallationCategory]</v>
      </c>
    </row>
    <row r="252" spans="1:15" x14ac:dyDescent="0.3">
      <c r="A252" t="s">
        <v>2277</v>
      </c>
      <c r="B252" t="s">
        <v>1886</v>
      </c>
      <c r="C252" t="s">
        <v>1887</v>
      </c>
      <c r="D252">
        <v>1</v>
      </c>
      <c r="E252" t="s">
        <v>1447</v>
      </c>
      <c r="F252" t="s">
        <v>1888</v>
      </c>
      <c r="G252" t="s">
        <v>1737</v>
      </c>
      <c r="H252" t="s">
        <v>2279</v>
      </c>
      <c r="I252" t="s">
        <v>2279</v>
      </c>
      <c r="J252" t="s">
        <v>2279</v>
      </c>
      <c r="K252" t="s">
        <v>2279</v>
      </c>
      <c r="L252" t="s">
        <v>1562</v>
      </c>
      <c r="M252" t="s">
        <v>2279</v>
      </c>
      <c r="N252" t="s">
        <v>2279</v>
      </c>
      <c r="O252" s="190" t="str">
        <f t="shared" si="3"/>
        <v>[S05_ImprovementReportArt69][1][Annex1Activity]</v>
      </c>
    </row>
    <row r="253" spans="1:15" x14ac:dyDescent="0.3">
      <c r="A253" t="s">
        <v>2277</v>
      </c>
      <c r="B253" t="s">
        <v>1886</v>
      </c>
      <c r="C253" t="s">
        <v>1887</v>
      </c>
      <c r="D253">
        <v>2</v>
      </c>
      <c r="E253" t="s">
        <v>1447</v>
      </c>
      <c r="F253" t="s">
        <v>1888</v>
      </c>
      <c r="G253" t="s">
        <v>1737</v>
      </c>
      <c r="H253" t="s">
        <v>2279</v>
      </c>
      <c r="I253" t="s">
        <v>2279</v>
      </c>
      <c r="J253" t="s">
        <v>2279</v>
      </c>
      <c r="K253" t="s">
        <v>2279</v>
      </c>
      <c r="L253" t="s">
        <v>1420</v>
      </c>
      <c r="M253" t="s">
        <v>2279</v>
      </c>
      <c r="N253" t="s">
        <v>2279</v>
      </c>
      <c r="O253" s="190" t="str">
        <f t="shared" si="3"/>
        <v>[S05_ImprovementReportArt69][2][Annex1Activity]</v>
      </c>
    </row>
    <row r="254" spans="1:15" x14ac:dyDescent="0.3">
      <c r="A254" t="s">
        <v>2277</v>
      </c>
      <c r="B254" t="s">
        <v>1886</v>
      </c>
      <c r="C254" t="s">
        <v>1887</v>
      </c>
      <c r="D254">
        <v>3</v>
      </c>
      <c r="E254" t="s">
        <v>1447</v>
      </c>
      <c r="F254" t="s">
        <v>1888</v>
      </c>
      <c r="G254" t="s">
        <v>1737</v>
      </c>
      <c r="H254" t="s">
        <v>2279</v>
      </c>
      <c r="I254" t="s">
        <v>2279</v>
      </c>
      <c r="J254" t="s">
        <v>2279</v>
      </c>
      <c r="K254" t="s">
        <v>2279</v>
      </c>
      <c r="L254" t="s">
        <v>1636</v>
      </c>
      <c r="M254" t="s">
        <v>2279</v>
      </c>
      <c r="N254" t="s">
        <v>2279</v>
      </c>
      <c r="O254" s="190" t="str">
        <f t="shared" si="3"/>
        <v>[S05_ImprovementReportArt69][3][Annex1Activity]</v>
      </c>
    </row>
    <row r="255" spans="1:15" x14ac:dyDescent="0.3">
      <c r="A255" t="s">
        <v>2277</v>
      </c>
      <c r="B255" t="s">
        <v>1886</v>
      </c>
      <c r="C255" t="s">
        <v>1887</v>
      </c>
      <c r="D255">
        <v>1</v>
      </c>
      <c r="E255" t="s">
        <v>1447</v>
      </c>
      <c r="F255" t="s">
        <v>1889</v>
      </c>
      <c r="G255" t="s">
        <v>1737</v>
      </c>
      <c r="H255" t="s">
        <v>2279</v>
      </c>
      <c r="I255" t="s">
        <v>2279</v>
      </c>
      <c r="J255" t="s">
        <v>2279</v>
      </c>
      <c r="K255" t="s">
        <v>2279</v>
      </c>
      <c r="L255" t="s">
        <v>1433</v>
      </c>
      <c r="M255" t="s">
        <v>2279</v>
      </c>
      <c r="N255" t="s">
        <v>2279</v>
      </c>
      <c r="O255" s="190" t="str">
        <f t="shared" si="3"/>
        <v>[S05_ImprovementReportArt69][1][ImprovementReportType]</v>
      </c>
    </row>
    <row r="256" spans="1:15" x14ac:dyDescent="0.3">
      <c r="A256" t="s">
        <v>2277</v>
      </c>
      <c r="B256" t="s">
        <v>1886</v>
      </c>
      <c r="C256" t="s">
        <v>1887</v>
      </c>
      <c r="D256">
        <v>2</v>
      </c>
      <c r="E256" t="s">
        <v>1447</v>
      </c>
      <c r="F256" t="s">
        <v>1889</v>
      </c>
      <c r="G256" t="s">
        <v>1737</v>
      </c>
      <c r="H256" t="s">
        <v>2279</v>
      </c>
      <c r="I256" t="s">
        <v>2279</v>
      </c>
      <c r="J256" t="s">
        <v>2279</v>
      </c>
      <c r="K256" t="s">
        <v>2279</v>
      </c>
      <c r="L256" t="s">
        <v>1433</v>
      </c>
      <c r="M256" t="s">
        <v>2279</v>
      </c>
      <c r="N256" t="s">
        <v>2279</v>
      </c>
      <c r="O256" s="190" t="str">
        <f t="shared" si="3"/>
        <v>[S05_ImprovementReportArt69][2][ImprovementReportType]</v>
      </c>
    </row>
    <row r="257" spans="1:15" x14ac:dyDescent="0.3">
      <c r="A257" t="s">
        <v>2277</v>
      </c>
      <c r="B257" t="s">
        <v>1886</v>
      </c>
      <c r="C257" t="s">
        <v>1887</v>
      </c>
      <c r="D257">
        <v>3</v>
      </c>
      <c r="E257" t="s">
        <v>1447</v>
      </c>
      <c r="F257" t="s">
        <v>1889</v>
      </c>
      <c r="G257" t="s">
        <v>1737</v>
      </c>
      <c r="H257" t="s">
        <v>2279</v>
      </c>
      <c r="I257" t="s">
        <v>2279</v>
      </c>
      <c r="J257" t="s">
        <v>2279</v>
      </c>
      <c r="K257" t="s">
        <v>2279</v>
      </c>
      <c r="L257" t="s">
        <v>1433</v>
      </c>
      <c r="M257" t="s">
        <v>2279</v>
      </c>
      <c r="N257" t="s">
        <v>2279</v>
      </c>
      <c r="O257" s="190" t="str">
        <f t="shared" si="3"/>
        <v>[S05_ImprovementReportArt69][3][ImprovementReportType]</v>
      </c>
    </row>
    <row r="258" spans="1:15" x14ac:dyDescent="0.3">
      <c r="A258" t="s">
        <v>2277</v>
      </c>
      <c r="B258" t="s">
        <v>1886</v>
      </c>
      <c r="C258" t="s">
        <v>1887</v>
      </c>
      <c r="D258">
        <v>1</v>
      </c>
      <c r="E258" t="s">
        <v>1447</v>
      </c>
      <c r="F258" t="s">
        <v>1890</v>
      </c>
      <c r="G258" t="s">
        <v>1748</v>
      </c>
      <c r="H258" t="s">
        <v>2279</v>
      </c>
      <c r="I258">
        <v>1</v>
      </c>
      <c r="J258" t="s">
        <v>2279</v>
      </c>
      <c r="K258" t="s">
        <v>2279</v>
      </c>
      <c r="L258" t="s">
        <v>2279</v>
      </c>
      <c r="M258" t="s">
        <v>2279</v>
      </c>
      <c r="N258" t="s">
        <v>2279</v>
      </c>
      <c r="O258" s="190" t="str">
        <f t="shared" ref="O258:O321" si="4">"["&amp;$C258&amp;"]["&amp;$D258&amp;"]["&amp;$F258&amp;"]"</f>
        <v>[S05_ImprovementReportArt69][1][ImprovementReportRequired]</v>
      </c>
    </row>
    <row r="259" spans="1:15" x14ac:dyDescent="0.3">
      <c r="A259" t="s">
        <v>2277</v>
      </c>
      <c r="B259" t="s">
        <v>1886</v>
      </c>
      <c r="C259" t="s">
        <v>1887</v>
      </c>
      <c r="D259">
        <v>2</v>
      </c>
      <c r="E259" t="s">
        <v>1447</v>
      </c>
      <c r="F259" t="s">
        <v>1890</v>
      </c>
      <c r="G259" t="s">
        <v>1748</v>
      </c>
      <c r="H259" t="s">
        <v>2279</v>
      </c>
      <c r="I259">
        <v>2</v>
      </c>
      <c r="J259" t="s">
        <v>2279</v>
      </c>
      <c r="K259" t="s">
        <v>2279</v>
      </c>
      <c r="L259" t="s">
        <v>2279</v>
      </c>
      <c r="M259" t="s">
        <v>2279</v>
      </c>
      <c r="N259" t="s">
        <v>2279</v>
      </c>
      <c r="O259" s="190" t="str">
        <f t="shared" si="4"/>
        <v>[S05_ImprovementReportArt69][2][ImprovementReportRequired]</v>
      </c>
    </row>
    <row r="260" spans="1:15" x14ac:dyDescent="0.3">
      <c r="A260" t="s">
        <v>2277</v>
      </c>
      <c r="B260" t="s">
        <v>1886</v>
      </c>
      <c r="C260" t="s">
        <v>1887</v>
      </c>
      <c r="D260">
        <v>3</v>
      </c>
      <c r="E260" t="s">
        <v>1447</v>
      </c>
      <c r="F260" t="s">
        <v>1890</v>
      </c>
      <c r="G260" t="s">
        <v>1748</v>
      </c>
      <c r="H260" t="s">
        <v>2279</v>
      </c>
      <c r="I260">
        <v>1</v>
      </c>
      <c r="J260" t="s">
        <v>2279</v>
      </c>
      <c r="K260" t="s">
        <v>2279</v>
      </c>
      <c r="L260" t="s">
        <v>2279</v>
      </c>
      <c r="M260" t="s">
        <v>2279</v>
      </c>
      <c r="N260" t="s">
        <v>2279</v>
      </c>
      <c r="O260" s="190" t="str">
        <f t="shared" si="4"/>
        <v>[S05_ImprovementReportArt69][3][ImprovementReportRequired]</v>
      </c>
    </row>
    <row r="261" spans="1:15" x14ac:dyDescent="0.3">
      <c r="A261" t="s">
        <v>2277</v>
      </c>
      <c r="B261" t="s">
        <v>1886</v>
      </c>
      <c r="C261" t="s">
        <v>1887</v>
      </c>
      <c r="D261">
        <v>1</v>
      </c>
      <c r="E261" t="s">
        <v>1447</v>
      </c>
      <c r="F261" t="s">
        <v>1891</v>
      </c>
      <c r="G261" t="s">
        <v>1748</v>
      </c>
      <c r="H261" t="s">
        <v>2279</v>
      </c>
      <c r="I261">
        <v>0</v>
      </c>
      <c r="J261" t="s">
        <v>2279</v>
      </c>
      <c r="K261" t="s">
        <v>2279</v>
      </c>
      <c r="L261" t="s">
        <v>2279</v>
      </c>
      <c r="M261" t="s">
        <v>2279</v>
      </c>
      <c r="N261" t="s">
        <v>2279</v>
      </c>
      <c r="O261" s="190" t="str">
        <f t="shared" si="4"/>
        <v>[S05_ImprovementReportArt69][1][ImprovementReportSubmitted]</v>
      </c>
    </row>
    <row r="262" spans="1:15" x14ac:dyDescent="0.3">
      <c r="A262" t="s">
        <v>2277</v>
      </c>
      <c r="B262" t="s">
        <v>1886</v>
      </c>
      <c r="C262" t="s">
        <v>1887</v>
      </c>
      <c r="D262">
        <v>2</v>
      </c>
      <c r="E262" t="s">
        <v>1447</v>
      </c>
      <c r="F262" t="s">
        <v>1891</v>
      </c>
      <c r="G262" t="s">
        <v>1748</v>
      </c>
      <c r="H262" t="s">
        <v>2279</v>
      </c>
      <c r="I262">
        <v>1</v>
      </c>
      <c r="J262" t="s">
        <v>2279</v>
      </c>
      <c r="K262" t="s">
        <v>2279</v>
      </c>
      <c r="L262" t="s">
        <v>2279</v>
      </c>
      <c r="M262" t="s">
        <v>2279</v>
      </c>
      <c r="N262" t="s">
        <v>2279</v>
      </c>
      <c r="O262" s="190" t="str">
        <f t="shared" si="4"/>
        <v>[S05_ImprovementReportArt69][2][ImprovementReportSubmitted]</v>
      </c>
    </row>
    <row r="263" spans="1:15" x14ac:dyDescent="0.3">
      <c r="A263" t="s">
        <v>2277</v>
      </c>
      <c r="B263" t="s">
        <v>1886</v>
      </c>
      <c r="C263" t="s">
        <v>1887</v>
      </c>
      <c r="D263">
        <v>3</v>
      </c>
      <c r="E263" t="s">
        <v>1447</v>
      </c>
      <c r="F263" t="s">
        <v>1891</v>
      </c>
      <c r="G263" t="s">
        <v>1748</v>
      </c>
      <c r="H263" t="s">
        <v>2279</v>
      </c>
      <c r="I263">
        <v>1</v>
      </c>
      <c r="J263" t="s">
        <v>2279</v>
      </c>
      <c r="K263" t="s">
        <v>2279</v>
      </c>
      <c r="L263" t="s">
        <v>2279</v>
      </c>
      <c r="M263" t="s">
        <v>2279</v>
      </c>
      <c r="N263" t="s">
        <v>2279</v>
      </c>
      <c r="O263" s="190" t="str">
        <f t="shared" si="4"/>
        <v>[S05_ImprovementReportArt69][3][ImprovementReportSubmitted]</v>
      </c>
    </row>
    <row r="264" spans="1:15" x14ac:dyDescent="0.3">
      <c r="A264" t="s">
        <v>2277</v>
      </c>
      <c r="B264" t="s">
        <v>1892</v>
      </c>
      <c r="C264" t="s">
        <v>1893</v>
      </c>
      <c r="D264">
        <v>0</v>
      </c>
      <c r="E264" t="s">
        <v>1447</v>
      </c>
      <c r="F264" t="s">
        <v>1893</v>
      </c>
      <c r="G264" t="s">
        <v>1759</v>
      </c>
      <c r="H264" t="s">
        <v>2279</v>
      </c>
      <c r="I264" t="s">
        <v>2279</v>
      </c>
      <c r="J264" t="s">
        <v>2279</v>
      </c>
      <c r="K264" t="s">
        <v>2279</v>
      </c>
      <c r="L264" t="s">
        <v>1447</v>
      </c>
      <c r="M264" t="s">
        <v>2279</v>
      </c>
      <c r="N264" t="s">
        <v>2279</v>
      </c>
      <c r="O264" s="190" t="str">
        <f t="shared" si="4"/>
        <v>[InherentCarbonTransferred][0][InherentCarbonTransferred]</v>
      </c>
    </row>
    <row r="265" spans="1:15" x14ac:dyDescent="0.3">
      <c r="A265" t="s">
        <v>2277</v>
      </c>
      <c r="B265" t="s">
        <v>1902</v>
      </c>
      <c r="C265" t="s">
        <v>1903</v>
      </c>
      <c r="D265">
        <v>0</v>
      </c>
      <c r="E265" t="s">
        <v>1447</v>
      </c>
      <c r="F265" t="s">
        <v>1903</v>
      </c>
      <c r="G265" t="s">
        <v>1759</v>
      </c>
      <c r="H265" t="s">
        <v>2279</v>
      </c>
      <c r="I265" t="s">
        <v>2279</v>
      </c>
      <c r="J265" t="s">
        <v>2279</v>
      </c>
      <c r="K265" t="s">
        <v>2279</v>
      </c>
      <c r="L265" t="s">
        <v>1419</v>
      </c>
      <c r="M265" t="s">
        <v>2279</v>
      </c>
      <c r="N265" t="s">
        <v>2279</v>
      </c>
      <c r="O265" s="190" t="str">
        <f t="shared" si="4"/>
        <v>[ContinuousEmissionsMeasurement][0][ContinuousEmissionsMeasurement]</v>
      </c>
    </row>
    <row r="266" spans="1:15" x14ac:dyDescent="0.3">
      <c r="A266" t="s">
        <v>2277</v>
      </c>
      <c r="B266" t="s">
        <v>1902</v>
      </c>
      <c r="C266" t="s">
        <v>1904</v>
      </c>
      <c r="D266">
        <v>1</v>
      </c>
      <c r="E266" t="s">
        <v>1447</v>
      </c>
      <c r="F266" t="s">
        <v>1905</v>
      </c>
      <c r="G266" t="s">
        <v>1741</v>
      </c>
      <c r="H266" t="s">
        <v>2319</v>
      </c>
      <c r="I266" t="s">
        <v>2279</v>
      </c>
      <c r="J266" t="s">
        <v>2279</v>
      </c>
      <c r="K266" t="s">
        <v>2279</v>
      </c>
      <c r="L266" t="s">
        <v>2279</v>
      </c>
      <c r="M266" t="s">
        <v>2279</v>
      </c>
      <c r="N266" t="s">
        <v>2279</v>
      </c>
      <c r="O266" s="190" t="str">
        <f t="shared" si="4"/>
        <v>[S05_ContinuousEmissionsMeasurementDetail][1][InstallationIDCO2]</v>
      </c>
    </row>
    <row r="267" spans="1:15" x14ac:dyDescent="0.3">
      <c r="A267" t="s">
        <v>2277</v>
      </c>
      <c r="B267" t="s">
        <v>1902</v>
      </c>
      <c r="C267" t="s">
        <v>1904</v>
      </c>
      <c r="D267">
        <v>2</v>
      </c>
      <c r="E267" t="s">
        <v>1447</v>
      </c>
      <c r="F267" t="s">
        <v>1905</v>
      </c>
      <c r="G267" t="s">
        <v>1741</v>
      </c>
      <c r="H267" t="s">
        <v>2320</v>
      </c>
      <c r="I267" t="s">
        <v>2279</v>
      </c>
      <c r="J267" t="s">
        <v>2279</v>
      </c>
      <c r="K267" t="s">
        <v>2279</v>
      </c>
      <c r="L267" t="s">
        <v>2279</v>
      </c>
      <c r="M267" t="s">
        <v>2279</v>
      </c>
      <c r="N267" t="s">
        <v>2279</v>
      </c>
      <c r="O267" s="190" t="str">
        <f t="shared" si="4"/>
        <v>[S05_ContinuousEmissionsMeasurementDetail][2][InstallationIDCO2]</v>
      </c>
    </row>
    <row r="268" spans="1:15" x14ac:dyDescent="0.3">
      <c r="A268" t="s">
        <v>2277</v>
      </c>
      <c r="B268" t="s">
        <v>1902</v>
      </c>
      <c r="C268" t="s">
        <v>1904</v>
      </c>
      <c r="D268">
        <v>1</v>
      </c>
      <c r="E268" t="s">
        <v>1447</v>
      </c>
      <c r="F268" t="s">
        <v>1906</v>
      </c>
      <c r="G268" t="s">
        <v>1741</v>
      </c>
      <c r="H268" t="s">
        <v>2319</v>
      </c>
      <c r="I268" t="s">
        <v>2279</v>
      </c>
      <c r="J268" t="s">
        <v>2279</v>
      </c>
      <c r="K268" t="s">
        <v>2279</v>
      </c>
      <c r="L268" t="s">
        <v>2279</v>
      </c>
      <c r="M268" t="s">
        <v>2279</v>
      </c>
      <c r="N268" t="s">
        <v>2279</v>
      </c>
      <c r="O268" s="190" t="str">
        <f t="shared" si="4"/>
        <v>[S05_ContinuousEmissionsMeasurementDetail][1][InstallationIDN2O]</v>
      </c>
    </row>
    <row r="269" spans="1:15" x14ac:dyDescent="0.3">
      <c r="A269" t="s">
        <v>2277</v>
      </c>
      <c r="B269" t="s">
        <v>1902</v>
      </c>
      <c r="C269" t="s">
        <v>1904</v>
      </c>
      <c r="D269">
        <v>2</v>
      </c>
      <c r="E269" t="s">
        <v>1447</v>
      </c>
      <c r="F269" t="s">
        <v>1906</v>
      </c>
      <c r="G269" t="s">
        <v>1741</v>
      </c>
      <c r="H269" t="s">
        <v>2320</v>
      </c>
      <c r="I269" t="s">
        <v>2279</v>
      </c>
      <c r="J269" t="s">
        <v>2279</v>
      </c>
      <c r="K269" t="s">
        <v>2279</v>
      </c>
      <c r="L269" t="s">
        <v>2279</v>
      </c>
      <c r="M269" t="s">
        <v>2279</v>
      </c>
      <c r="N269" t="s">
        <v>2279</v>
      </c>
      <c r="O269" s="190" t="str">
        <f t="shared" si="4"/>
        <v>[S05_ContinuousEmissionsMeasurementDetail][2][InstallationIDN2O]</v>
      </c>
    </row>
    <row r="270" spans="1:15" x14ac:dyDescent="0.3">
      <c r="A270" t="s">
        <v>2277</v>
      </c>
      <c r="B270" t="s">
        <v>1902</v>
      </c>
      <c r="C270" t="s">
        <v>1904</v>
      </c>
      <c r="D270">
        <v>1</v>
      </c>
      <c r="E270" t="s">
        <v>1447</v>
      </c>
      <c r="F270" t="s">
        <v>1907</v>
      </c>
      <c r="G270" t="s">
        <v>1806</v>
      </c>
      <c r="H270" t="s">
        <v>2279</v>
      </c>
      <c r="I270" t="s">
        <v>2279</v>
      </c>
      <c r="J270">
        <v>681436</v>
      </c>
      <c r="K270" t="s">
        <v>2279</v>
      </c>
      <c r="L270" t="s">
        <v>2279</v>
      </c>
      <c r="M270" t="s">
        <v>2279</v>
      </c>
      <c r="N270" t="s">
        <v>2279</v>
      </c>
      <c r="O270" s="190" t="str">
        <f t="shared" si="4"/>
        <v>[S05_ContinuousEmissionsMeasurementDetail][1][TotalEmissionsCO2E]</v>
      </c>
    </row>
    <row r="271" spans="1:15" x14ac:dyDescent="0.3">
      <c r="A271" t="s">
        <v>2277</v>
      </c>
      <c r="B271" t="s">
        <v>1902</v>
      </c>
      <c r="C271" t="s">
        <v>1904</v>
      </c>
      <c r="D271">
        <v>2</v>
      </c>
      <c r="E271" t="s">
        <v>1447</v>
      </c>
      <c r="F271" t="s">
        <v>1907</v>
      </c>
      <c r="G271" t="s">
        <v>1806</v>
      </c>
      <c r="H271" t="s">
        <v>2279</v>
      </c>
      <c r="I271" t="s">
        <v>2279</v>
      </c>
      <c r="J271">
        <v>94370</v>
      </c>
      <c r="K271" t="s">
        <v>2279</v>
      </c>
      <c r="L271" t="s">
        <v>2279</v>
      </c>
      <c r="M271" t="s">
        <v>2279</v>
      </c>
      <c r="N271" t="s">
        <v>2279</v>
      </c>
      <c r="O271" s="190" t="str">
        <f t="shared" si="4"/>
        <v>[S05_ContinuousEmissionsMeasurementDetail][2][TotalEmissionsCO2E]</v>
      </c>
    </row>
    <row r="272" spans="1:15" x14ac:dyDescent="0.3">
      <c r="A272" t="s">
        <v>2277</v>
      </c>
      <c r="B272" t="s">
        <v>1902</v>
      </c>
      <c r="C272" t="s">
        <v>1904</v>
      </c>
      <c r="D272">
        <v>1</v>
      </c>
      <c r="E272" t="s">
        <v>1447</v>
      </c>
      <c r="F272" t="s">
        <v>1908</v>
      </c>
      <c r="G272" t="s">
        <v>1806</v>
      </c>
      <c r="H272" t="s">
        <v>2279</v>
      </c>
      <c r="I272" t="s">
        <v>2279</v>
      </c>
      <c r="J272">
        <v>28724</v>
      </c>
      <c r="K272" t="s">
        <v>2279</v>
      </c>
      <c r="L272" t="s">
        <v>2279</v>
      </c>
      <c r="M272" t="s">
        <v>2279</v>
      </c>
      <c r="N272" t="s">
        <v>2279</v>
      </c>
      <c r="O272" s="190" t="str">
        <f t="shared" si="4"/>
        <v>[S05_ContinuousEmissionsMeasurementDetail][1][ContinuousMeasurementTotalEmissions]</v>
      </c>
    </row>
    <row r="273" spans="1:15" x14ac:dyDescent="0.3">
      <c r="A273" t="s">
        <v>2277</v>
      </c>
      <c r="B273" t="s">
        <v>1902</v>
      </c>
      <c r="C273" t="s">
        <v>1904</v>
      </c>
      <c r="D273">
        <v>2</v>
      </c>
      <c r="E273" t="s">
        <v>1447</v>
      </c>
      <c r="F273" t="s">
        <v>1908</v>
      </c>
      <c r="G273" t="s">
        <v>1806</v>
      </c>
      <c r="H273" t="s">
        <v>2279</v>
      </c>
      <c r="I273" t="s">
        <v>2279</v>
      </c>
      <c r="J273">
        <v>44274</v>
      </c>
      <c r="K273" t="s">
        <v>2279</v>
      </c>
      <c r="L273" t="s">
        <v>2279</v>
      </c>
      <c r="M273" t="s">
        <v>2279</v>
      </c>
      <c r="N273" t="s">
        <v>2279</v>
      </c>
      <c r="O273" s="190" t="str">
        <f t="shared" si="4"/>
        <v>[S05_ContinuousEmissionsMeasurementDetail][2][ContinuousMeasurementTotalEmissions]</v>
      </c>
    </row>
    <row r="274" spans="1:15" x14ac:dyDescent="0.3">
      <c r="A274" t="s">
        <v>2277</v>
      </c>
      <c r="B274" t="s">
        <v>1902</v>
      </c>
      <c r="C274" t="s">
        <v>1904</v>
      </c>
      <c r="D274">
        <v>1</v>
      </c>
      <c r="E274" t="s">
        <v>1447</v>
      </c>
      <c r="F274" t="s">
        <v>1909</v>
      </c>
      <c r="G274" t="s">
        <v>1759</v>
      </c>
      <c r="H274" t="s">
        <v>2279</v>
      </c>
      <c r="I274" t="s">
        <v>2279</v>
      </c>
      <c r="J274" t="s">
        <v>2279</v>
      </c>
      <c r="K274" t="s">
        <v>2279</v>
      </c>
      <c r="L274" t="s">
        <v>2321</v>
      </c>
      <c r="M274" t="s">
        <v>2279</v>
      </c>
      <c r="N274" t="s">
        <v>2279</v>
      </c>
      <c r="O274" s="190" t="str">
        <f t="shared" si="4"/>
        <v>[S05_ContinuousEmissionsMeasurementDetail][1][FlueGasContainBiomass]</v>
      </c>
    </row>
    <row r="275" spans="1:15" x14ac:dyDescent="0.3">
      <c r="A275" t="s">
        <v>2277</v>
      </c>
      <c r="B275" t="s">
        <v>1902</v>
      </c>
      <c r="C275" t="s">
        <v>1904</v>
      </c>
      <c r="D275">
        <v>2</v>
      </c>
      <c r="E275" t="s">
        <v>1447</v>
      </c>
      <c r="F275" t="s">
        <v>1909</v>
      </c>
      <c r="G275" t="s">
        <v>1759</v>
      </c>
      <c r="H275" t="s">
        <v>2279</v>
      </c>
      <c r="I275" t="s">
        <v>2279</v>
      </c>
      <c r="J275" t="s">
        <v>2279</v>
      </c>
      <c r="K275" t="s">
        <v>2279</v>
      </c>
      <c r="L275" t="s">
        <v>2321</v>
      </c>
      <c r="M275" t="s">
        <v>2279</v>
      </c>
      <c r="N275" t="s">
        <v>2279</v>
      </c>
      <c r="O275" s="190" t="str">
        <f t="shared" si="4"/>
        <v>[S05_ContinuousEmissionsMeasurementDetail][2][FlueGasContainBiomass]</v>
      </c>
    </row>
    <row r="276" spans="1:15" x14ac:dyDescent="0.3">
      <c r="A276" t="s">
        <v>2277</v>
      </c>
      <c r="B276" t="s">
        <v>1910</v>
      </c>
      <c r="C276" t="s">
        <v>1912</v>
      </c>
      <c r="D276">
        <v>1</v>
      </c>
      <c r="E276" t="s">
        <v>1447</v>
      </c>
      <c r="F276" t="s">
        <v>1888</v>
      </c>
      <c r="G276" t="s">
        <v>1737</v>
      </c>
      <c r="H276" t="s">
        <v>2279</v>
      </c>
      <c r="I276" t="s">
        <v>2279</v>
      </c>
      <c r="J276" t="s">
        <v>2279</v>
      </c>
      <c r="K276" t="s">
        <v>2279</v>
      </c>
      <c r="L276" t="s">
        <v>1420</v>
      </c>
      <c r="M276" t="s">
        <v>2279</v>
      </c>
      <c r="N276" t="s">
        <v>2279</v>
      </c>
      <c r="O276" s="190" t="str">
        <f t="shared" si="4"/>
        <v>[S05_BiomassInstallations][1][Annex1Activity]</v>
      </c>
    </row>
    <row r="277" spans="1:15" x14ac:dyDescent="0.3">
      <c r="A277" t="s">
        <v>2277</v>
      </c>
      <c r="B277" t="s">
        <v>1910</v>
      </c>
      <c r="C277" t="s">
        <v>1912</v>
      </c>
      <c r="D277">
        <v>2</v>
      </c>
      <c r="E277" t="s">
        <v>1447</v>
      </c>
      <c r="F277" t="s">
        <v>1888</v>
      </c>
      <c r="G277" t="s">
        <v>1737</v>
      </c>
      <c r="H277" t="s">
        <v>2279</v>
      </c>
      <c r="I277" t="s">
        <v>2279</v>
      </c>
      <c r="J277" t="s">
        <v>2279</v>
      </c>
      <c r="K277" t="s">
        <v>2279</v>
      </c>
      <c r="L277" t="s">
        <v>1420</v>
      </c>
      <c r="M277" t="s">
        <v>2279</v>
      </c>
      <c r="N277" t="s">
        <v>2279</v>
      </c>
      <c r="O277" s="190" t="str">
        <f t="shared" si="4"/>
        <v>[S05_BiomassInstallations][2][Annex1Activity]</v>
      </c>
    </row>
    <row r="278" spans="1:15" x14ac:dyDescent="0.3">
      <c r="A278" t="s">
        <v>2277</v>
      </c>
      <c r="B278" t="s">
        <v>1910</v>
      </c>
      <c r="C278" t="s">
        <v>1912</v>
      </c>
      <c r="D278">
        <v>3</v>
      </c>
      <c r="E278" t="s">
        <v>1447</v>
      </c>
      <c r="F278" t="s">
        <v>1888</v>
      </c>
      <c r="G278" t="s">
        <v>1737</v>
      </c>
      <c r="H278" t="s">
        <v>2279</v>
      </c>
      <c r="I278" t="s">
        <v>2279</v>
      </c>
      <c r="J278" t="s">
        <v>2279</v>
      </c>
      <c r="K278" t="s">
        <v>2279</v>
      </c>
      <c r="L278" t="s">
        <v>1420</v>
      </c>
      <c r="M278" t="s">
        <v>2279</v>
      </c>
      <c r="N278" t="s">
        <v>2279</v>
      </c>
      <c r="O278" s="190" t="str">
        <f t="shared" si="4"/>
        <v>[S05_BiomassInstallations][3][Annex1Activity]</v>
      </c>
    </row>
    <row r="279" spans="1:15" x14ac:dyDescent="0.3">
      <c r="A279" t="s">
        <v>2277</v>
      </c>
      <c r="B279" t="s">
        <v>1910</v>
      </c>
      <c r="C279" t="s">
        <v>1912</v>
      </c>
      <c r="D279">
        <v>4</v>
      </c>
      <c r="E279" t="s">
        <v>1447</v>
      </c>
      <c r="F279" t="s">
        <v>1888</v>
      </c>
      <c r="G279" t="s">
        <v>1737</v>
      </c>
      <c r="H279" t="s">
        <v>2279</v>
      </c>
      <c r="I279" t="s">
        <v>2279</v>
      </c>
      <c r="J279" t="s">
        <v>2279</v>
      </c>
      <c r="K279" t="s">
        <v>2279</v>
      </c>
      <c r="L279" t="s">
        <v>1577</v>
      </c>
      <c r="M279" t="s">
        <v>2279</v>
      </c>
      <c r="N279" t="s">
        <v>2279</v>
      </c>
      <c r="O279" s="190" t="str">
        <f t="shared" si="4"/>
        <v>[S05_BiomassInstallations][4][Annex1Activity]</v>
      </c>
    </row>
    <row r="280" spans="1:15" x14ac:dyDescent="0.3">
      <c r="A280" t="s">
        <v>2277</v>
      </c>
      <c r="B280" t="s">
        <v>1910</v>
      </c>
      <c r="C280" t="s">
        <v>1912</v>
      </c>
      <c r="D280">
        <v>5</v>
      </c>
      <c r="E280" t="s">
        <v>1447</v>
      </c>
      <c r="F280" t="s">
        <v>1888</v>
      </c>
      <c r="G280" t="s">
        <v>1737</v>
      </c>
      <c r="H280" t="s">
        <v>2279</v>
      </c>
      <c r="I280" t="s">
        <v>2279</v>
      </c>
      <c r="J280" t="s">
        <v>2279</v>
      </c>
      <c r="K280" t="s">
        <v>2279</v>
      </c>
      <c r="L280" t="s">
        <v>1562</v>
      </c>
      <c r="M280" t="s">
        <v>2279</v>
      </c>
      <c r="N280" t="s">
        <v>2279</v>
      </c>
      <c r="O280" s="190" t="str">
        <f t="shared" si="4"/>
        <v>[S05_BiomassInstallations][5][Annex1Activity]</v>
      </c>
    </row>
    <row r="281" spans="1:15" x14ac:dyDescent="0.3">
      <c r="A281" t="s">
        <v>2277</v>
      </c>
      <c r="B281" t="s">
        <v>1910</v>
      </c>
      <c r="C281" t="s">
        <v>1912</v>
      </c>
      <c r="D281">
        <v>6</v>
      </c>
      <c r="E281" t="s">
        <v>1447</v>
      </c>
      <c r="F281" t="s">
        <v>1888</v>
      </c>
      <c r="G281" t="s">
        <v>1737</v>
      </c>
      <c r="H281" t="s">
        <v>2279</v>
      </c>
      <c r="I281" t="s">
        <v>2279</v>
      </c>
      <c r="J281" t="s">
        <v>2279</v>
      </c>
      <c r="K281" t="s">
        <v>2279</v>
      </c>
      <c r="L281" t="s">
        <v>1562</v>
      </c>
      <c r="M281" t="s">
        <v>2279</v>
      </c>
      <c r="N281" t="s">
        <v>2279</v>
      </c>
      <c r="O281" s="190" t="str">
        <f t="shared" si="4"/>
        <v>[S05_BiomassInstallations][6][Annex1Activity]</v>
      </c>
    </row>
    <row r="282" spans="1:15" x14ac:dyDescent="0.3">
      <c r="A282" t="s">
        <v>2277</v>
      </c>
      <c r="B282" t="s">
        <v>1910</v>
      </c>
      <c r="C282" t="s">
        <v>1912</v>
      </c>
      <c r="D282">
        <v>7</v>
      </c>
      <c r="E282" t="s">
        <v>1447</v>
      </c>
      <c r="F282" t="s">
        <v>1888</v>
      </c>
      <c r="G282" t="s">
        <v>1737</v>
      </c>
      <c r="H282" t="s">
        <v>2279</v>
      </c>
      <c r="I282" t="s">
        <v>2279</v>
      </c>
      <c r="J282" t="s">
        <v>2279</v>
      </c>
      <c r="K282" t="s">
        <v>2279</v>
      </c>
      <c r="L282" t="s">
        <v>1597</v>
      </c>
      <c r="M282" t="s">
        <v>2279</v>
      </c>
      <c r="N282" t="s">
        <v>2279</v>
      </c>
      <c r="O282" s="190" t="str">
        <f t="shared" si="4"/>
        <v>[S05_BiomassInstallations][7][Annex1Activity]</v>
      </c>
    </row>
    <row r="283" spans="1:15" x14ac:dyDescent="0.3">
      <c r="A283" t="s">
        <v>2277</v>
      </c>
      <c r="B283" t="s">
        <v>1910</v>
      </c>
      <c r="C283" t="s">
        <v>1912</v>
      </c>
      <c r="D283">
        <v>8</v>
      </c>
      <c r="E283" t="s">
        <v>1447</v>
      </c>
      <c r="F283" t="s">
        <v>1888</v>
      </c>
      <c r="G283" t="s">
        <v>1737</v>
      </c>
      <c r="H283" t="s">
        <v>2279</v>
      </c>
      <c r="I283" t="s">
        <v>2279</v>
      </c>
      <c r="J283" t="s">
        <v>2279</v>
      </c>
      <c r="K283" t="s">
        <v>2279</v>
      </c>
      <c r="L283" t="s">
        <v>1607</v>
      </c>
      <c r="M283" t="s">
        <v>2279</v>
      </c>
      <c r="N283" t="s">
        <v>2279</v>
      </c>
      <c r="O283" s="190" t="str">
        <f t="shared" si="4"/>
        <v>[S05_BiomassInstallations][8][Annex1Activity]</v>
      </c>
    </row>
    <row r="284" spans="1:15" x14ac:dyDescent="0.3">
      <c r="A284" t="s">
        <v>2277</v>
      </c>
      <c r="B284" t="s">
        <v>1910</v>
      </c>
      <c r="C284" t="s">
        <v>1912</v>
      </c>
      <c r="D284">
        <v>9</v>
      </c>
      <c r="E284" t="s">
        <v>1447</v>
      </c>
      <c r="F284" t="s">
        <v>1888</v>
      </c>
      <c r="G284" t="s">
        <v>1737</v>
      </c>
      <c r="H284" t="s">
        <v>2279</v>
      </c>
      <c r="I284" t="s">
        <v>2279</v>
      </c>
      <c r="J284" t="s">
        <v>2279</v>
      </c>
      <c r="K284" t="s">
        <v>2279</v>
      </c>
      <c r="L284" t="s">
        <v>1636</v>
      </c>
      <c r="M284" t="s">
        <v>2279</v>
      </c>
      <c r="N284" t="s">
        <v>2279</v>
      </c>
      <c r="O284" s="190" t="str">
        <f t="shared" si="4"/>
        <v>[S05_BiomassInstallations][9][Annex1Activity]</v>
      </c>
    </row>
    <row r="285" spans="1:15" x14ac:dyDescent="0.3">
      <c r="A285" t="s">
        <v>2277</v>
      </c>
      <c r="B285" t="s">
        <v>1910</v>
      </c>
      <c r="C285" t="s">
        <v>1912</v>
      </c>
      <c r="D285">
        <v>1</v>
      </c>
      <c r="E285" t="s">
        <v>1447</v>
      </c>
      <c r="F285" t="s">
        <v>1913</v>
      </c>
      <c r="G285" t="s">
        <v>1737</v>
      </c>
      <c r="H285" t="s">
        <v>2279</v>
      </c>
      <c r="I285" t="s">
        <v>2279</v>
      </c>
      <c r="J285" t="s">
        <v>2279</v>
      </c>
      <c r="K285" t="s">
        <v>2279</v>
      </c>
      <c r="L285" t="s">
        <v>1432</v>
      </c>
      <c r="M285" t="s">
        <v>2279</v>
      </c>
      <c r="N285" t="s">
        <v>2279</v>
      </c>
      <c r="O285" s="190" t="str">
        <f t="shared" si="4"/>
        <v>[S05_BiomassInstallations][1][BiomassInstallationCategory]</v>
      </c>
    </row>
    <row r="286" spans="1:15" x14ac:dyDescent="0.3">
      <c r="A286" t="s">
        <v>2277</v>
      </c>
      <c r="B286" t="s">
        <v>1910</v>
      </c>
      <c r="C286" t="s">
        <v>1912</v>
      </c>
      <c r="D286">
        <v>2</v>
      </c>
      <c r="E286" t="s">
        <v>1447</v>
      </c>
      <c r="F286" t="s">
        <v>1913</v>
      </c>
      <c r="G286" t="s">
        <v>1737</v>
      </c>
      <c r="H286" t="s">
        <v>2279</v>
      </c>
      <c r="I286" t="s">
        <v>2279</v>
      </c>
      <c r="J286" t="s">
        <v>2279</v>
      </c>
      <c r="K286" t="s">
        <v>2279</v>
      </c>
      <c r="L286" t="s">
        <v>1460</v>
      </c>
      <c r="M286" t="s">
        <v>2279</v>
      </c>
      <c r="N286" t="s">
        <v>2279</v>
      </c>
      <c r="O286" s="190" t="str">
        <f t="shared" si="4"/>
        <v>[S05_BiomassInstallations][2][BiomassInstallationCategory]</v>
      </c>
    </row>
    <row r="287" spans="1:15" x14ac:dyDescent="0.3">
      <c r="A287" t="s">
        <v>2277</v>
      </c>
      <c r="B287" t="s">
        <v>1910</v>
      </c>
      <c r="C287" t="s">
        <v>1912</v>
      </c>
      <c r="D287">
        <v>3</v>
      </c>
      <c r="E287" t="s">
        <v>1447</v>
      </c>
      <c r="F287" t="s">
        <v>1913</v>
      </c>
      <c r="G287" t="s">
        <v>1737</v>
      </c>
      <c r="H287" t="s">
        <v>2279</v>
      </c>
      <c r="I287" t="s">
        <v>2279</v>
      </c>
      <c r="J287" t="s">
        <v>2279</v>
      </c>
      <c r="K287" t="s">
        <v>2279</v>
      </c>
      <c r="L287" t="s">
        <v>1487</v>
      </c>
      <c r="M287" t="s">
        <v>2279</v>
      </c>
      <c r="N287" t="s">
        <v>2279</v>
      </c>
      <c r="O287" s="190" t="str">
        <f t="shared" si="4"/>
        <v>[S05_BiomassInstallations][3][BiomassInstallationCategory]</v>
      </c>
    </row>
    <row r="288" spans="1:15" x14ac:dyDescent="0.3">
      <c r="A288" t="s">
        <v>2277</v>
      </c>
      <c r="B288" t="s">
        <v>1910</v>
      </c>
      <c r="C288" t="s">
        <v>1912</v>
      </c>
      <c r="D288">
        <v>4</v>
      </c>
      <c r="E288" t="s">
        <v>1447</v>
      </c>
      <c r="F288" t="s">
        <v>1913</v>
      </c>
      <c r="G288" t="s">
        <v>1737</v>
      </c>
      <c r="H288" t="s">
        <v>2279</v>
      </c>
      <c r="I288" t="s">
        <v>2279</v>
      </c>
      <c r="J288" t="s">
        <v>2279</v>
      </c>
      <c r="K288" t="s">
        <v>2279</v>
      </c>
      <c r="L288" t="s">
        <v>1432</v>
      </c>
      <c r="M288" t="s">
        <v>2279</v>
      </c>
      <c r="N288" t="s">
        <v>2279</v>
      </c>
      <c r="O288" s="190" t="str">
        <f t="shared" si="4"/>
        <v>[S05_BiomassInstallations][4][BiomassInstallationCategory]</v>
      </c>
    </row>
    <row r="289" spans="1:15" x14ac:dyDescent="0.3">
      <c r="A289" t="s">
        <v>2277</v>
      </c>
      <c r="B289" t="s">
        <v>1910</v>
      </c>
      <c r="C289" t="s">
        <v>1912</v>
      </c>
      <c r="D289">
        <v>5</v>
      </c>
      <c r="E289" t="s">
        <v>1447</v>
      </c>
      <c r="F289" t="s">
        <v>1913</v>
      </c>
      <c r="G289" t="s">
        <v>1737</v>
      </c>
      <c r="H289" t="s">
        <v>2279</v>
      </c>
      <c r="I289" t="s">
        <v>2279</v>
      </c>
      <c r="J289" t="s">
        <v>2279</v>
      </c>
      <c r="K289" t="s">
        <v>2279</v>
      </c>
      <c r="L289" t="s">
        <v>1460</v>
      </c>
      <c r="M289" t="s">
        <v>2279</v>
      </c>
      <c r="N289" t="s">
        <v>2279</v>
      </c>
      <c r="O289" s="190" t="str">
        <f t="shared" si="4"/>
        <v>[S05_BiomassInstallations][5][BiomassInstallationCategory]</v>
      </c>
    </row>
    <row r="290" spans="1:15" x14ac:dyDescent="0.3">
      <c r="A290" t="s">
        <v>2277</v>
      </c>
      <c r="B290" t="s">
        <v>1910</v>
      </c>
      <c r="C290" t="s">
        <v>1912</v>
      </c>
      <c r="D290">
        <v>6</v>
      </c>
      <c r="E290" t="s">
        <v>1447</v>
      </c>
      <c r="F290" t="s">
        <v>1913</v>
      </c>
      <c r="G290" t="s">
        <v>1737</v>
      </c>
      <c r="H290" t="s">
        <v>2279</v>
      </c>
      <c r="I290" t="s">
        <v>2279</v>
      </c>
      <c r="J290" t="s">
        <v>2279</v>
      </c>
      <c r="K290" t="s">
        <v>2279</v>
      </c>
      <c r="L290" t="s">
        <v>1487</v>
      </c>
      <c r="M290" t="s">
        <v>2279</v>
      </c>
      <c r="N290" t="s">
        <v>2279</v>
      </c>
      <c r="O290" s="190" t="str">
        <f t="shared" si="4"/>
        <v>[S05_BiomassInstallations][6][BiomassInstallationCategory]</v>
      </c>
    </row>
    <row r="291" spans="1:15" x14ac:dyDescent="0.3">
      <c r="A291" t="s">
        <v>2277</v>
      </c>
      <c r="B291" t="s">
        <v>1910</v>
      </c>
      <c r="C291" t="s">
        <v>1912</v>
      </c>
      <c r="D291">
        <v>7</v>
      </c>
      <c r="E291" t="s">
        <v>1447</v>
      </c>
      <c r="F291" t="s">
        <v>1913</v>
      </c>
      <c r="G291" t="s">
        <v>1737</v>
      </c>
      <c r="H291" t="s">
        <v>2279</v>
      </c>
      <c r="I291" t="s">
        <v>2279</v>
      </c>
      <c r="J291" t="s">
        <v>2279</v>
      </c>
      <c r="K291" t="s">
        <v>2279</v>
      </c>
      <c r="L291" t="s">
        <v>1432</v>
      </c>
      <c r="M291" t="s">
        <v>2279</v>
      </c>
      <c r="N291" t="s">
        <v>2279</v>
      </c>
      <c r="O291" s="190" t="str">
        <f t="shared" si="4"/>
        <v>[S05_BiomassInstallations][7][BiomassInstallationCategory]</v>
      </c>
    </row>
    <row r="292" spans="1:15" x14ac:dyDescent="0.3">
      <c r="A292" t="s">
        <v>2277</v>
      </c>
      <c r="B292" t="s">
        <v>1910</v>
      </c>
      <c r="C292" t="s">
        <v>1912</v>
      </c>
      <c r="D292">
        <v>8</v>
      </c>
      <c r="E292" t="s">
        <v>1447</v>
      </c>
      <c r="F292" t="s">
        <v>1913</v>
      </c>
      <c r="G292" t="s">
        <v>1737</v>
      </c>
      <c r="H292" t="s">
        <v>2279</v>
      </c>
      <c r="I292" t="s">
        <v>2279</v>
      </c>
      <c r="J292" t="s">
        <v>2279</v>
      </c>
      <c r="K292" t="s">
        <v>2279</v>
      </c>
      <c r="L292" t="s">
        <v>1432</v>
      </c>
      <c r="M292" t="s">
        <v>2279</v>
      </c>
      <c r="N292" t="s">
        <v>2279</v>
      </c>
      <c r="O292" s="190" t="str">
        <f t="shared" si="4"/>
        <v>[S05_BiomassInstallations][8][BiomassInstallationCategory]</v>
      </c>
    </row>
    <row r="293" spans="1:15" x14ac:dyDescent="0.3">
      <c r="A293" t="s">
        <v>2277</v>
      </c>
      <c r="B293" t="s">
        <v>1910</v>
      </c>
      <c r="C293" t="s">
        <v>1912</v>
      </c>
      <c r="D293">
        <v>9</v>
      </c>
      <c r="E293" t="s">
        <v>1447</v>
      </c>
      <c r="F293" t="s">
        <v>1913</v>
      </c>
      <c r="G293" t="s">
        <v>1737</v>
      </c>
      <c r="H293" t="s">
        <v>2279</v>
      </c>
      <c r="I293" t="s">
        <v>2279</v>
      </c>
      <c r="J293" t="s">
        <v>2279</v>
      </c>
      <c r="K293" t="s">
        <v>2279</v>
      </c>
      <c r="L293" t="s">
        <v>1487</v>
      </c>
      <c r="M293" t="s">
        <v>2279</v>
      </c>
      <c r="N293" t="s">
        <v>2279</v>
      </c>
      <c r="O293" s="190" t="str">
        <f t="shared" si="4"/>
        <v>[S05_BiomassInstallations][9][BiomassInstallationCategory]</v>
      </c>
    </row>
    <row r="294" spans="1:15" x14ac:dyDescent="0.3">
      <c r="A294" t="s">
        <v>2277</v>
      </c>
      <c r="B294" t="s">
        <v>1910</v>
      </c>
      <c r="C294" t="s">
        <v>1912</v>
      </c>
      <c r="D294">
        <v>1</v>
      </c>
      <c r="E294" t="s">
        <v>1447</v>
      </c>
      <c r="F294" t="s">
        <v>1914</v>
      </c>
      <c r="G294" t="s">
        <v>1748</v>
      </c>
      <c r="H294" t="s">
        <v>2279</v>
      </c>
      <c r="I294">
        <v>10</v>
      </c>
      <c r="J294" t="s">
        <v>2279</v>
      </c>
      <c r="K294" t="s">
        <v>2279</v>
      </c>
      <c r="L294" t="s">
        <v>2279</v>
      </c>
      <c r="M294" t="s">
        <v>2279</v>
      </c>
      <c r="N294" t="s">
        <v>2279</v>
      </c>
      <c r="O294" s="190" t="str">
        <f t="shared" si="4"/>
        <v>[S05_BiomassInstallations][1][NumberUsingBiomass]</v>
      </c>
    </row>
    <row r="295" spans="1:15" x14ac:dyDescent="0.3">
      <c r="A295" t="s">
        <v>2277</v>
      </c>
      <c r="B295" t="s">
        <v>1910</v>
      </c>
      <c r="C295" t="s">
        <v>1912</v>
      </c>
      <c r="D295">
        <v>2</v>
      </c>
      <c r="E295" t="s">
        <v>1447</v>
      </c>
      <c r="F295" t="s">
        <v>1914</v>
      </c>
      <c r="G295" t="s">
        <v>1748</v>
      </c>
      <c r="H295" t="s">
        <v>2279</v>
      </c>
      <c r="I295">
        <v>5</v>
      </c>
      <c r="J295" t="s">
        <v>2279</v>
      </c>
      <c r="K295" t="s">
        <v>2279</v>
      </c>
      <c r="L295" t="s">
        <v>2279</v>
      </c>
      <c r="M295" t="s">
        <v>2279</v>
      </c>
      <c r="N295" t="s">
        <v>2279</v>
      </c>
      <c r="O295" s="190" t="str">
        <f t="shared" si="4"/>
        <v>[S05_BiomassInstallations][2][NumberUsingBiomass]</v>
      </c>
    </row>
    <row r="296" spans="1:15" x14ac:dyDescent="0.3">
      <c r="A296" t="s">
        <v>2277</v>
      </c>
      <c r="B296" t="s">
        <v>1910</v>
      </c>
      <c r="C296" t="s">
        <v>1912</v>
      </c>
      <c r="D296">
        <v>3</v>
      </c>
      <c r="E296" t="s">
        <v>1447</v>
      </c>
      <c r="F296" t="s">
        <v>1914</v>
      </c>
      <c r="G296" t="s">
        <v>1748</v>
      </c>
      <c r="H296" t="s">
        <v>2279</v>
      </c>
      <c r="I296">
        <v>6</v>
      </c>
      <c r="J296" t="s">
        <v>2279</v>
      </c>
      <c r="K296" t="s">
        <v>2279</v>
      </c>
      <c r="L296" t="s">
        <v>2279</v>
      </c>
      <c r="M296" t="s">
        <v>2279</v>
      </c>
      <c r="N296" t="s">
        <v>2279</v>
      </c>
      <c r="O296" s="190" t="str">
        <f t="shared" si="4"/>
        <v>[S05_BiomassInstallations][3][NumberUsingBiomass]</v>
      </c>
    </row>
    <row r="297" spans="1:15" x14ac:dyDescent="0.3">
      <c r="A297" t="s">
        <v>2277</v>
      </c>
      <c r="B297" t="s">
        <v>1910</v>
      </c>
      <c r="C297" t="s">
        <v>1912</v>
      </c>
      <c r="D297">
        <v>4</v>
      </c>
      <c r="E297" t="s">
        <v>1447</v>
      </c>
      <c r="F297" t="s">
        <v>1914</v>
      </c>
      <c r="G297" t="s">
        <v>1748</v>
      </c>
      <c r="H297" t="s">
        <v>2279</v>
      </c>
      <c r="I297">
        <v>5</v>
      </c>
      <c r="J297" t="s">
        <v>2279</v>
      </c>
      <c r="K297" t="s">
        <v>2279</v>
      </c>
      <c r="L297" t="s">
        <v>2279</v>
      </c>
      <c r="M297" t="s">
        <v>2279</v>
      </c>
      <c r="N297" t="s">
        <v>2279</v>
      </c>
      <c r="O297" s="190" t="str">
        <f t="shared" si="4"/>
        <v>[S05_BiomassInstallations][4][NumberUsingBiomass]</v>
      </c>
    </row>
    <row r="298" spans="1:15" x14ac:dyDescent="0.3">
      <c r="A298" t="s">
        <v>2277</v>
      </c>
      <c r="B298" t="s">
        <v>1910</v>
      </c>
      <c r="C298" t="s">
        <v>1912</v>
      </c>
      <c r="D298">
        <v>5</v>
      </c>
      <c r="E298" t="s">
        <v>1447</v>
      </c>
      <c r="F298" t="s">
        <v>1914</v>
      </c>
      <c r="G298" t="s">
        <v>1748</v>
      </c>
      <c r="H298" t="s">
        <v>2279</v>
      </c>
      <c r="I298">
        <v>3</v>
      </c>
      <c r="J298" t="s">
        <v>2279</v>
      </c>
      <c r="K298" t="s">
        <v>2279</v>
      </c>
      <c r="L298" t="s">
        <v>2279</v>
      </c>
      <c r="M298" t="s">
        <v>2279</v>
      </c>
      <c r="N298" t="s">
        <v>2279</v>
      </c>
      <c r="O298" s="190" t="str">
        <f t="shared" si="4"/>
        <v>[S05_BiomassInstallations][5][NumberUsingBiomass]</v>
      </c>
    </row>
    <row r="299" spans="1:15" x14ac:dyDescent="0.3">
      <c r="A299" t="s">
        <v>2277</v>
      </c>
      <c r="B299" t="s">
        <v>1910</v>
      </c>
      <c r="C299" t="s">
        <v>1912</v>
      </c>
      <c r="D299">
        <v>6</v>
      </c>
      <c r="E299" t="s">
        <v>1447</v>
      </c>
      <c r="F299" t="s">
        <v>1914</v>
      </c>
      <c r="G299" t="s">
        <v>1748</v>
      </c>
      <c r="H299" t="s">
        <v>2279</v>
      </c>
      <c r="I299">
        <v>1</v>
      </c>
      <c r="J299" t="s">
        <v>2279</v>
      </c>
      <c r="K299" t="s">
        <v>2279</v>
      </c>
      <c r="L299" t="s">
        <v>2279</v>
      </c>
      <c r="M299" t="s">
        <v>2279</v>
      </c>
      <c r="N299" t="s">
        <v>2279</v>
      </c>
      <c r="O299" s="190" t="str">
        <f t="shared" si="4"/>
        <v>[S05_BiomassInstallations][6][NumberUsingBiomass]</v>
      </c>
    </row>
    <row r="300" spans="1:15" x14ac:dyDescent="0.3">
      <c r="A300" t="s">
        <v>2277</v>
      </c>
      <c r="B300" t="s">
        <v>1910</v>
      </c>
      <c r="C300" t="s">
        <v>1912</v>
      </c>
      <c r="D300">
        <v>7</v>
      </c>
      <c r="E300" t="s">
        <v>1447</v>
      </c>
      <c r="F300" t="s">
        <v>1914</v>
      </c>
      <c r="G300" t="s">
        <v>1748</v>
      </c>
      <c r="H300" t="s">
        <v>2279</v>
      </c>
      <c r="I300">
        <v>1</v>
      </c>
      <c r="J300" t="s">
        <v>2279</v>
      </c>
      <c r="K300" t="s">
        <v>2279</v>
      </c>
      <c r="L300" t="s">
        <v>2279</v>
      </c>
      <c r="M300" t="s">
        <v>2279</v>
      </c>
      <c r="N300" t="s">
        <v>2279</v>
      </c>
      <c r="O300" s="190" t="str">
        <f t="shared" si="4"/>
        <v>[S05_BiomassInstallations][7][NumberUsingBiomass]</v>
      </c>
    </row>
    <row r="301" spans="1:15" x14ac:dyDescent="0.3">
      <c r="A301" t="s">
        <v>2277</v>
      </c>
      <c r="B301" t="s">
        <v>1910</v>
      </c>
      <c r="C301" t="s">
        <v>1912</v>
      </c>
      <c r="D301">
        <v>8</v>
      </c>
      <c r="E301" t="s">
        <v>1447</v>
      </c>
      <c r="F301" t="s">
        <v>1914</v>
      </c>
      <c r="G301" t="s">
        <v>1748</v>
      </c>
      <c r="H301" t="s">
        <v>2279</v>
      </c>
      <c r="I301">
        <v>1</v>
      </c>
      <c r="J301" t="s">
        <v>2279</v>
      </c>
      <c r="K301" t="s">
        <v>2279</v>
      </c>
      <c r="L301" t="s">
        <v>2279</v>
      </c>
      <c r="M301" t="s">
        <v>2279</v>
      </c>
      <c r="N301" t="s">
        <v>2279</v>
      </c>
      <c r="O301" s="190" t="str">
        <f t="shared" si="4"/>
        <v>[S05_BiomassInstallations][8][NumberUsingBiomass]</v>
      </c>
    </row>
    <row r="302" spans="1:15" x14ac:dyDescent="0.3">
      <c r="A302" t="s">
        <v>2277</v>
      </c>
      <c r="B302" t="s">
        <v>1910</v>
      </c>
      <c r="C302" t="s">
        <v>1912</v>
      </c>
      <c r="D302">
        <v>9</v>
      </c>
      <c r="E302" t="s">
        <v>1447</v>
      </c>
      <c r="F302" t="s">
        <v>1914</v>
      </c>
      <c r="G302" t="s">
        <v>1748</v>
      </c>
      <c r="H302" t="s">
        <v>2279</v>
      </c>
      <c r="I302">
        <v>1</v>
      </c>
      <c r="J302" t="s">
        <v>2279</v>
      </c>
      <c r="K302" t="s">
        <v>2279</v>
      </c>
      <c r="L302" t="s">
        <v>2279</v>
      </c>
      <c r="M302" t="s">
        <v>2279</v>
      </c>
      <c r="N302" t="s">
        <v>2279</v>
      </c>
      <c r="O302" s="190" t="str">
        <f t="shared" si="4"/>
        <v>[S05_BiomassInstallations][9][NumberUsingBiomass]</v>
      </c>
    </row>
    <row r="303" spans="1:15" x14ac:dyDescent="0.3">
      <c r="A303" t="s">
        <v>2277</v>
      </c>
      <c r="B303" t="s">
        <v>1910</v>
      </c>
      <c r="C303" t="s">
        <v>1912</v>
      </c>
      <c r="D303">
        <v>1</v>
      </c>
      <c r="E303" t="s">
        <v>1447</v>
      </c>
      <c r="F303" t="s">
        <v>1915</v>
      </c>
      <c r="G303" t="s">
        <v>1806</v>
      </c>
      <c r="H303" t="s">
        <v>2279</v>
      </c>
      <c r="I303" t="s">
        <v>2279</v>
      </c>
      <c r="J303">
        <v>649584.97428598395</v>
      </c>
      <c r="K303" t="s">
        <v>2279</v>
      </c>
      <c r="L303" t="s">
        <v>2279</v>
      </c>
      <c r="M303" t="s">
        <v>2279</v>
      </c>
      <c r="N303" t="s">
        <v>2279</v>
      </c>
      <c r="O303" s="190" t="str">
        <f t="shared" si="4"/>
        <v>[S05_BiomassInstallations][1][EmissionsBiomassSustainabilitySatisfied]</v>
      </c>
    </row>
    <row r="304" spans="1:15" x14ac:dyDescent="0.3">
      <c r="A304" t="s">
        <v>2277</v>
      </c>
      <c r="B304" t="s">
        <v>1910</v>
      </c>
      <c r="C304" t="s">
        <v>1912</v>
      </c>
      <c r="D304">
        <v>2</v>
      </c>
      <c r="E304" t="s">
        <v>1447</v>
      </c>
      <c r="F304" t="s">
        <v>1915</v>
      </c>
      <c r="G304" t="s">
        <v>1806</v>
      </c>
      <c r="H304" t="s">
        <v>2279</v>
      </c>
      <c r="I304" t="s">
        <v>2279</v>
      </c>
      <c r="J304">
        <v>369751.19791246898</v>
      </c>
      <c r="K304" t="s">
        <v>2279</v>
      </c>
      <c r="L304" t="s">
        <v>2279</v>
      </c>
      <c r="M304" t="s">
        <v>2279</v>
      </c>
      <c r="N304" t="s">
        <v>2279</v>
      </c>
      <c r="O304" s="190" t="str">
        <f t="shared" si="4"/>
        <v>[S05_BiomassInstallations][2][EmissionsBiomassSustainabilitySatisfied]</v>
      </c>
    </row>
    <row r="305" spans="1:15" x14ac:dyDescent="0.3">
      <c r="A305" t="s">
        <v>2277</v>
      </c>
      <c r="B305" t="s">
        <v>1910</v>
      </c>
      <c r="C305" t="s">
        <v>1912</v>
      </c>
      <c r="D305">
        <v>3</v>
      </c>
      <c r="E305" t="s">
        <v>1447</v>
      </c>
      <c r="F305" t="s">
        <v>1915</v>
      </c>
      <c r="G305" t="s">
        <v>1806</v>
      </c>
      <c r="H305" t="s">
        <v>2279</v>
      </c>
      <c r="I305" t="s">
        <v>2279</v>
      </c>
      <c r="J305">
        <v>993686.75925999996</v>
      </c>
      <c r="K305" t="s">
        <v>2279</v>
      </c>
      <c r="L305" t="s">
        <v>2279</v>
      </c>
      <c r="M305" t="s">
        <v>2279</v>
      </c>
      <c r="N305" t="s">
        <v>2279</v>
      </c>
      <c r="O305" s="190" t="str">
        <f t="shared" si="4"/>
        <v>[S05_BiomassInstallations][3][EmissionsBiomassSustainabilitySatisfied]</v>
      </c>
    </row>
    <row r="306" spans="1:15" x14ac:dyDescent="0.3">
      <c r="A306" t="s">
        <v>2277</v>
      </c>
      <c r="B306" t="s">
        <v>1910</v>
      </c>
      <c r="C306" t="s">
        <v>1912</v>
      </c>
      <c r="D306">
        <v>4</v>
      </c>
      <c r="E306" t="s">
        <v>1447</v>
      </c>
      <c r="F306" t="s">
        <v>1915</v>
      </c>
      <c r="G306" t="s">
        <v>1806</v>
      </c>
      <c r="H306" t="s">
        <v>2279</v>
      </c>
      <c r="I306" t="s">
        <v>2279</v>
      </c>
      <c r="J306">
        <v>7782.4992000000002</v>
      </c>
      <c r="K306" t="s">
        <v>2279</v>
      </c>
      <c r="L306" t="s">
        <v>2279</v>
      </c>
      <c r="M306" t="s">
        <v>2279</v>
      </c>
      <c r="N306" t="s">
        <v>2279</v>
      </c>
      <c r="O306" s="190" t="str">
        <f t="shared" si="4"/>
        <v>[S05_BiomassInstallations][4][EmissionsBiomassSustainabilitySatisfied]</v>
      </c>
    </row>
    <row r="307" spans="1:15" x14ac:dyDescent="0.3">
      <c r="A307" t="s">
        <v>2277</v>
      </c>
      <c r="B307" t="s">
        <v>1910</v>
      </c>
      <c r="C307" t="s">
        <v>1912</v>
      </c>
      <c r="D307">
        <v>5</v>
      </c>
      <c r="E307" t="s">
        <v>1447</v>
      </c>
      <c r="F307" t="s">
        <v>1915</v>
      </c>
      <c r="G307" t="s">
        <v>1806</v>
      </c>
      <c r="H307" t="s">
        <v>2279</v>
      </c>
      <c r="I307" t="s">
        <v>2279</v>
      </c>
      <c r="J307">
        <v>153343.51457131299</v>
      </c>
      <c r="K307" t="s">
        <v>2279</v>
      </c>
      <c r="L307" t="s">
        <v>2279</v>
      </c>
      <c r="M307" t="s">
        <v>2279</v>
      </c>
      <c r="N307" t="s">
        <v>2279</v>
      </c>
      <c r="O307" s="190" t="str">
        <f t="shared" si="4"/>
        <v>[S05_BiomassInstallations][5][EmissionsBiomassSustainabilitySatisfied]</v>
      </c>
    </row>
    <row r="308" spans="1:15" x14ac:dyDescent="0.3">
      <c r="A308" t="s">
        <v>2277</v>
      </c>
      <c r="B308" t="s">
        <v>1910</v>
      </c>
      <c r="C308" t="s">
        <v>1912</v>
      </c>
      <c r="D308">
        <v>6</v>
      </c>
      <c r="E308" t="s">
        <v>1447</v>
      </c>
      <c r="F308" t="s">
        <v>1915</v>
      </c>
      <c r="G308" t="s">
        <v>1806</v>
      </c>
      <c r="H308" t="s">
        <v>2279</v>
      </c>
      <c r="I308" t="s">
        <v>2279</v>
      </c>
      <c r="J308">
        <v>75203.686836743</v>
      </c>
      <c r="K308" t="s">
        <v>2279</v>
      </c>
      <c r="L308" t="s">
        <v>2279</v>
      </c>
      <c r="M308" t="s">
        <v>2279</v>
      </c>
      <c r="N308" t="s">
        <v>2279</v>
      </c>
      <c r="O308" s="190" t="str">
        <f t="shared" si="4"/>
        <v>[S05_BiomassInstallations][6][EmissionsBiomassSustainabilitySatisfied]</v>
      </c>
    </row>
    <row r="309" spans="1:15" x14ac:dyDescent="0.3">
      <c r="A309" t="s">
        <v>2277</v>
      </c>
      <c r="B309" t="s">
        <v>1910</v>
      </c>
      <c r="C309" t="s">
        <v>1912</v>
      </c>
      <c r="D309">
        <v>7</v>
      </c>
      <c r="E309" t="s">
        <v>1447</v>
      </c>
      <c r="F309" t="s">
        <v>1915</v>
      </c>
      <c r="G309" t="s">
        <v>1806</v>
      </c>
      <c r="H309" t="s">
        <v>2279</v>
      </c>
      <c r="I309" t="s">
        <v>2279</v>
      </c>
      <c r="J309">
        <v>372772.53686400002</v>
      </c>
      <c r="K309" t="s">
        <v>2279</v>
      </c>
      <c r="L309" t="s">
        <v>2279</v>
      </c>
      <c r="M309" t="s">
        <v>2279</v>
      </c>
      <c r="N309" t="s">
        <v>2279</v>
      </c>
      <c r="O309" s="190" t="str">
        <f t="shared" si="4"/>
        <v>[S05_BiomassInstallations][7][EmissionsBiomassSustainabilitySatisfied]</v>
      </c>
    </row>
    <row r="310" spans="1:15" x14ac:dyDescent="0.3">
      <c r="A310" t="s">
        <v>2277</v>
      </c>
      <c r="B310" t="s">
        <v>1910</v>
      </c>
      <c r="C310" t="s">
        <v>1912</v>
      </c>
      <c r="D310">
        <v>8</v>
      </c>
      <c r="E310" t="s">
        <v>1447</v>
      </c>
      <c r="F310" t="s">
        <v>1915</v>
      </c>
      <c r="G310" t="s">
        <v>1806</v>
      </c>
      <c r="H310" t="s">
        <v>2279</v>
      </c>
      <c r="I310" t="s">
        <v>2279</v>
      </c>
      <c r="J310">
        <v>22865.517479999999</v>
      </c>
      <c r="K310" t="s">
        <v>2279</v>
      </c>
      <c r="L310" t="s">
        <v>2279</v>
      </c>
      <c r="M310" t="s">
        <v>2279</v>
      </c>
      <c r="N310" t="s">
        <v>2279</v>
      </c>
      <c r="O310" s="190" t="str">
        <f t="shared" si="4"/>
        <v>[S05_BiomassInstallations][8][EmissionsBiomassSustainabilitySatisfied]</v>
      </c>
    </row>
    <row r="311" spans="1:15" x14ac:dyDescent="0.3">
      <c r="A311" t="s">
        <v>2277</v>
      </c>
      <c r="B311" t="s">
        <v>1910</v>
      </c>
      <c r="C311" t="s">
        <v>1912</v>
      </c>
      <c r="D311">
        <v>9</v>
      </c>
      <c r="E311" t="s">
        <v>1447</v>
      </c>
      <c r="F311" t="s">
        <v>1915</v>
      </c>
      <c r="G311" t="s">
        <v>1806</v>
      </c>
      <c r="H311" t="s">
        <v>2279</v>
      </c>
      <c r="I311" t="s">
        <v>2279</v>
      </c>
      <c r="J311">
        <v>15676.141834079999</v>
      </c>
      <c r="K311" t="s">
        <v>2279</v>
      </c>
      <c r="L311" t="s">
        <v>2279</v>
      </c>
      <c r="M311" t="s">
        <v>2279</v>
      </c>
      <c r="N311" t="s">
        <v>2279</v>
      </c>
      <c r="O311" s="190" t="str">
        <f t="shared" si="4"/>
        <v>[S05_BiomassInstallations][9][EmissionsBiomassSustainabilitySatisfied]</v>
      </c>
    </row>
    <row r="312" spans="1:15" x14ac:dyDescent="0.3">
      <c r="A312" t="s">
        <v>2277</v>
      </c>
      <c r="B312" t="s">
        <v>1910</v>
      </c>
      <c r="C312" t="s">
        <v>1912</v>
      </c>
      <c r="D312">
        <v>1</v>
      </c>
      <c r="E312" t="s">
        <v>1447</v>
      </c>
      <c r="F312" t="s">
        <v>1916</v>
      </c>
      <c r="G312" t="s">
        <v>1806</v>
      </c>
      <c r="H312" t="s">
        <v>2279</v>
      </c>
      <c r="I312" t="s">
        <v>2279</v>
      </c>
      <c r="J312">
        <v>0</v>
      </c>
      <c r="K312" t="s">
        <v>2279</v>
      </c>
      <c r="L312" t="s">
        <v>2279</v>
      </c>
      <c r="M312" t="s">
        <v>2279</v>
      </c>
      <c r="N312" t="s">
        <v>2279</v>
      </c>
      <c r="O312" s="190" t="str">
        <f t="shared" si="4"/>
        <v>[S05_BiomassInstallations][1][EmissionsBiomassSustainabilityNotSatisfied]</v>
      </c>
    </row>
    <row r="313" spans="1:15" x14ac:dyDescent="0.3">
      <c r="A313" t="s">
        <v>2277</v>
      </c>
      <c r="B313" t="s">
        <v>1910</v>
      </c>
      <c r="C313" t="s">
        <v>1912</v>
      </c>
      <c r="D313">
        <v>2</v>
      </c>
      <c r="E313" t="s">
        <v>1447</v>
      </c>
      <c r="F313" t="s">
        <v>1916</v>
      </c>
      <c r="G313" t="s">
        <v>1806</v>
      </c>
      <c r="H313" t="s">
        <v>2279</v>
      </c>
      <c r="I313" t="s">
        <v>2279</v>
      </c>
      <c r="J313">
        <v>0</v>
      </c>
      <c r="K313" t="s">
        <v>2279</v>
      </c>
      <c r="L313" t="s">
        <v>2279</v>
      </c>
      <c r="M313" t="s">
        <v>2279</v>
      </c>
      <c r="N313" t="s">
        <v>2279</v>
      </c>
      <c r="O313" s="190" t="str">
        <f t="shared" si="4"/>
        <v>[S05_BiomassInstallations][2][EmissionsBiomassSustainabilityNotSatisfied]</v>
      </c>
    </row>
    <row r="314" spans="1:15" x14ac:dyDescent="0.3">
      <c r="A314" t="s">
        <v>2277</v>
      </c>
      <c r="B314" t="s">
        <v>1910</v>
      </c>
      <c r="C314" t="s">
        <v>1912</v>
      </c>
      <c r="D314">
        <v>3</v>
      </c>
      <c r="E314" t="s">
        <v>1447</v>
      </c>
      <c r="F314" t="s">
        <v>1916</v>
      </c>
      <c r="G314" t="s">
        <v>1806</v>
      </c>
      <c r="H314" t="s">
        <v>2279</v>
      </c>
      <c r="I314" t="s">
        <v>2279</v>
      </c>
      <c r="J314">
        <v>0</v>
      </c>
      <c r="K314" t="s">
        <v>2279</v>
      </c>
      <c r="L314" t="s">
        <v>2279</v>
      </c>
      <c r="M314" t="s">
        <v>2279</v>
      </c>
      <c r="N314" t="s">
        <v>2279</v>
      </c>
      <c r="O314" s="190" t="str">
        <f t="shared" si="4"/>
        <v>[S05_BiomassInstallations][3][EmissionsBiomassSustainabilityNotSatisfied]</v>
      </c>
    </row>
    <row r="315" spans="1:15" x14ac:dyDescent="0.3">
      <c r="A315" t="s">
        <v>2277</v>
      </c>
      <c r="B315" t="s">
        <v>1910</v>
      </c>
      <c r="C315" t="s">
        <v>1912</v>
      </c>
      <c r="D315">
        <v>4</v>
      </c>
      <c r="E315" t="s">
        <v>1447</v>
      </c>
      <c r="F315" t="s">
        <v>1916</v>
      </c>
      <c r="G315" t="s">
        <v>1806</v>
      </c>
      <c r="H315" t="s">
        <v>2279</v>
      </c>
      <c r="I315" t="s">
        <v>2279</v>
      </c>
      <c r="J315">
        <v>0</v>
      </c>
      <c r="K315" t="s">
        <v>2279</v>
      </c>
      <c r="L315" t="s">
        <v>2279</v>
      </c>
      <c r="M315" t="s">
        <v>2279</v>
      </c>
      <c r="N315" t="s">
        <v>2279</v>
      </c>
      <c r="O315" s="190" t="str">
        <f t="shared" si="4"/>
        <v>[S05_BiomassInstallations][4][EmissionsBiomassSustainabilityNotSatisfied]</v>
      </c>
    </row>
    <row r="316" spans="1:15" x14ac:dyDescent="0.3">
      <c r="A316" t="s">
        <v>2277</v>
      </c>
      <c r="B316" t="s">
        <v>1910</v>
      </c>
      <c r="C316" t="s">
        <v>1912</v>
      </c>
      <c r="D316">
        <v>5</v>
      </c>
      <c r="E316" t="s">
        <v>1447</v>
      </c>
      <c r="F316" t="s">
        <v>1916</v>
      </c>
      <c r="G316" t="s">
        <v>1806</v>
      </c>
      <c r="H316" t="s">
        <v>2279</v>
      </c>
      <c r="I316" t="s">
        <v>2279</v>
      </c>
      <c r="J316">
        <v>0</v>
      </c>
      <c r="K316" t="s">
        <v>2279</v>
      </c>
      <c r="L316" t="s">
        <v>2279</v>
      </c>
      <c r="M316" t="s">
        <v>2279</v>
      </c>
      <c r="N316" t="s">
        <v>2279</v>
      </c>
      <c r="O316" s="190" t="str">
        <f t="shared" si="4"/>
        <v>[S05_BiomassInstallations][5][EmissionsBiomassSustainabilityNotSatisfied]</v>
      </c>
    </row>
    <row r="317" spans="1:15" x14ac:dyDescent="0.3">
      <c r="A317" t="s">
        <v>2277</v>
      </c>
      <c r="B317" t="s">
        <v>1910</v>
      </c>
      <c r="C317" t="s">
        <v>1912</v>
      </c>
      <c r="D317">
        <v>6</v>
      </c>
      <c r="E317" t="s">
        <v>1447</v>
      </c>
      <c r="F317" t="s">
        <v>1916</v>
      </c>
      <c r="G317" t="s">
        <v>1806</v>
      </c>
      <c r="H317" t="s">
        <v>2279</v>
      </c>
      <c r="I317" t="s">
        <v>2279</v>
      </c>
      <c r="J317">
        <v>0</v>
      </c>
      <c r="K317" t="s">
        <v>2279</v>
      </c>
      <c r="L317" t="s">
        <v>2279</v>
      </c>
      <c r="M317" t="s">
        <v>2279</v>
      </c>
      <c r="N317" t="s">
        <v>2279</v>
      </c>
      <c r="O317" s="190" t="str">
        <f t="shared" si="4"/>
        <v>[S05_BiomassInstallations][6][EmissionsBiomassSustainabilityNotSatisfied]</v>
      </c>
    </row>
    <row r="318" spans="1:15" x14ac:dyDescent="0.3">
      <c r="A318" t="s">
        <v>2277</v>
      </c>
      <c r="B318" t="s">
        <v>1910</v>
      </c>
      <c r="C318" t="s">
        <v>1912</v>
      </c>
      <c r="D318">
        <v>7</v>
      </c>
      <c r="E318" t="s">
        <v>1447</v>
      </c>
      <c r="F318" t="s">
        <v>1916</v>
      </c>
      <c r="G318" t="s">
        <v>1806</v>
      </c>
      <c r="H318" t="s">
        <v>2279</v>
      </c>
      <c r="I318" t="s">
        <v>2279</v>
      </c>
      <c r="J318">
        <v>0</v>
      </c>
      <c r="K318" t="s">
        <v>2279</v>
      </c>
      <c r="L318" t="s">
        <v>2279</v>
      </c>
      <c r="M318" t="s">
        <v>2279</v>
      </c>
      <c r="N318" t="s">
        <v>2279</v>
      </c>
      <c r="O318" s="190" t="str">
        <f t="shared" si="4"/>
        <v>[S05_BiomassInstallations][7][EmissionsBiomassSustainabilityNotSatisfied]</v>
      </c>
    </row>
    <row r="319" spans="1:15" x14ac:dyDescent="0.3">
      <c r="A319" t="s">
        <v>2277</v>
      </c>
      <c r="B319" t="s">
        <v>1910</v>
      </c>
      <c r="C319" t="s">
        <v>1912</v>
      </c>
      <c r="D319">
        <v>8</v>
      </c>
      <c r="E319" t="s">
        <v>1447</v>
      </c>
      <c r="F319" t="s">
        <v>1916</v>
      </c>
      <c r="G319" t="s">
        <v>1806</v>
      </c>
      <c r="H319" t="s">
        <v>2279</v>
      </c>
      <c r="I319" t="s">
        <v>2279</v>
      </c>
      <c r="J319">
        <v>0</v>
      </c>
      <c r="K319" t="s">
        <v>2279</v>
      </c>
      <c r="L319" t="s">
        <v>2279</v>
      </c>
      <c r="M319" t="s">
        <v>2279</v>
      </c>
      <c r="N319" t="s">
        <v>2279</v>
      </c>
      <c r="O319" s="190" t="str">
        <f t="shared" si="4"/>
        <v>[S05_BiomassInstallations][8][EmissionsBiomassSustainabilityNotSatisfied]</v>
      </c>
    </row>
    <row r="320" spans="1:15" x14ac:dyDescent="0.3">
      <c r="A320" t="s">
        <v>2277</v>
      </c>
      <c r="B320" t="s">
        <v>1910</v>
      </c>
      <c r="C320" t="s">
        <v>1912</v>
      </c>
      <c r="D320">
        <v>9</v>
      </c>
      <c r="E320" t="s">
        <v>1447</v>
      </c>
      <c r="F320" t="s">
        <v>1916</v>
      </c>
      <c r="G320" t="s">
        <v>1806</v>
      </c>
      <c r="H320" t="s">
        <v>2279</v>
      </c>
      <c r="I320" t="s">
        <v>2279</v>
      </c>
      <c r="J320">
        <v>0</v>
      </c>
      <c r="K320" t="s">
        <v>2279</v>
      </c>
      <c r="L320" t="s">
        <v>2279</v>
      </c>
      <c r="M320" t="s">
        <v>2279</v>
      </c>
      <c r="N320" t="s">
        <v>2279</v>
      </c>
      <c r="O320" s="190" t="str">
        <f t="shared" si="4"/>
        <v>[S05_BiomassInstallations][9][EmissionsBiomassSustainabilityNotSatisfied]</v>
      </c>
    </row>
    <row r="321" spans="1:15" x14ac:dyDescent="0.3">
      <c r="A321" t="s">
        <v>2277</v>
      </c>
      <c r="B321" t="s">
        <v>1910</v>
      </c>
      <c r="C321" t="s">
        <v>1912</v>
      </c>
      <c r="D321">
        <v>1</v>
      </c>
      <c r="E321" t="s">
        <v>1447</v>
      </c>
      <c r="F321" t="s">
        <v>1917</v>
      </c>
      <c r="G321" t="s">
        <v>1806</v>
      </c>
      <c r="H321" t="s">
        <v>2279</v>
      </c>
      <c r="I321" t="s">
        <v>2279</v>
      </c>
      <c r="J321">
        <v>298832.3</v>
      </c>
      <c r="K321" t="s">
        <v>2279</v>
      </c>
      <c r="L321" t="s">
        <v>2279</v>
      </c>
      <c r="M321" t="s">
        <v>2279</v>
      </c>
      <c r="N321" t="s">
        <v>2279</v>
      </c>
      <c r="O321" s="190" t="str">
        <f t="shared" si="4"/>
        <v>[S05_BiomassInstallations][1][EmissionsFossil]</v>
      </c>
    </row>
    <row r="322" spans="1:15" x14ac:dyDescent="0.3">
      <c r="A322" t="s">
        <v>2277</v>
      </c>
      <c r="B322" t="s">
        <v>1910</v>
      </c>
      <c r="C322" t="s">
        <v>1912</v>
      </c>
      <c r="D322">
        <v>2</v>
      </c>
      <c r="E322" t="s">
        <v>1447</v>
      </c>
      <c r="F322" t="s">
        <v>1917</v>
      </c>
      <c r="G322" t="s">
        <v>1806</v>
      </c>
      <c r="H322" t="s">
        <v>2279</v>
      </c>
      <c r="I322" t="s">
        <v>2279</v>
      </c>
      <c r="J322">
        <v>381155.7</v>
      </c>
      <c r="K322" t="s">
        <v>2279</v>
      </c>
      <c r="L322" t="s">
        <v>2279</v>
      </c>
      <c r="M322" t="s">
        <v>2279</v>
      </c>
      <c r="N322" t="s">
        <v>2279</v>
      </c>
      <c r="O322" s="190" t="str">
        <f t="shared" ref="O322:O385" si="5">"["&amp;$C322&amp;"]["&amp;$D322&amp;"]["&amp;$F322&amp;"]"</f>
        <v>[S05_BiomassInstallations][2][EmissionsFossil]</v>
      </c>
    </row>
    <row r="323" spans="1:15" x14ac:dyDescent="0.3">
      <c r="A323" t="s">
        <v>2277</v>
      </c>
      <c r="B323" t="s">
        <v>1910</v>
      </c>
      <c r="C323" t="s">
        <v>1912</v>
      </c>
      <c r="D323">
        <v>3</v>
      </c>
      <c r="E323" t="s">
        <v>1447</v>
      </c>
      <c r="F323" t="s">
        <v>1917</v>
      </c>
      <c r="G323" t="s">
        <v>1806</v>
      </c>
      <c r="H323" t="s">
        <v>2279</v>
      </c>
      <c r="I323" t="s">
        <v>2279</v>
      </c>
      <c r="J323">
        <v>197738.9</v>
      </c>
      <c r="K323" t="s">
        <v>2279</v>
      </c>
      <c r="L323" t="s">
        <v>2279</v>
      </c>
      <c r="M323" t="s">
        <v>2279</v>
      </c>
      <c r="N323" t="s">
        <v>2279</v>
      </c>
      <c r="O323" s="190" t="str">
        <f t="shared" si="5"/>
        <v>[S05_BiomassInstallations][3][EmissionsFossil]</v>
      </c>
    </row>
    <row r="324" spans="1:15" x14ac:dyDescent="0.3">
      <c r="A324" t="s">
        <v>2277</v>
      </c>
      <c r="B324" t="s">
        <v>1910</v>
      </c>
      <c r="C324" t="s">
        <v>1912</v>
      </c>
      <c r="D324">
        <v>1</v>
      </c>
      <c r="E324" t="s">
        <v>1447</v>
      </c>
      <c r="F324" t="s">
        <v>1918</v>
      </c>
      <c r="G324" t="s">
        <v>1806</v>
      </c>
      <c r="H324" t="s">
        <v>2279</v>
      </c>
      <c r="I324" t="s">
        <v>2279</v>
      </c>
      <c r="J324">
        <v>5809.7192604319998</v>
      </c>
      <c r="K324" t="s">
        <v>2279</v>
      </c>
      <c r="L324" t="s">
        <v>2279</v>
      </c>
      <c r="M324" t="s">
        <v>2279</v>
      </c>
      <c r="N324" t="s">
        <v>2279</v>
      </c>
      <c r="O324" s="190" t="str">
        <f t="shared" si="5"/>
        <v>[S05_BiomassInstallations][1][EnergyZeroRatedBiomass]</v>
      </c>
    </row>
    <row r="325" spans="1:15" x14ac:dyDescent="0.3">
      <c r="A325" t="s">
        <v>2277</v>
      </c>
      <c r="B325" t="s">
        <v>1910</v>
      </c>
      <c r="C325" t="s">
        <v>1912</v>
      </c>
      <c r="D325">
        <v>2</v>
      </c>
      <c r="E325" t="s">
        <v>1447</v>
      </c>
      <c r="F325" t="s">
        <v>1918</v>
      </c>
      <c r="G325" t="s">
        <v>1806</v>
      </c>
      <c r="H325" t="s">
        <v>2279</v>
      </c>
      <c r="I325" t="s">
        <v>2279</v>
      </c>
      <c r="J325">
        <v>6441.6047484720002</v>
      </c>
      <c r="K325" t="s">
        <v>2279</v>
      </c>
      <c r="L325" t="s">
        <v>2279</v>
      </c>
      <c r="M325" t="s">
        <v>2279</v>
      </c>
      <c r="N325" t="s">
        <v>2279</v>
      </c>
      <c r="O325" s="190" t="str">
        <f t="shared" si="5"/>
        <v>[S05_BiomassInstallations][2][EnergyZeroRatedBiomass]</v>
      </c>
    </row>
    <row r="326" spans="1:15" x14ac:dyDescent="0.3">
      <c r="A326" t="s">
        <v>2277</v>
      </c>
      <c r="B326" t="s">
        <v>1910</v>
      </c>
      <c r="C326" t="s">
        <v>1912</v>
      </c>
      <c r="D326">
        <v>3</v>
      </c>
      <c r="E326" t="s">
        <v>1447</v>
      </c>
      <c r="F326" t="s">
        <v>1918</v>
      </c>
      <c r="G326" t="s">
        <v>1806</v>
      </c>
      <c r="H326" t="s">
        <v>2279</v>
      </c>
      <c r="I326" t="s">
        <v>2279</v>
      </c>
      <c r="J326">
        <v>24900.6737541</v>
      </c>
      <c r="K326" t="s">
        <v>2279</v>
      </c>
      <c r="L326" t="s">
        <v>2279</v>
      </c>
      <c r="M326" t="s">
        <v>2279</v>
      </c>
      <c r="N326" t="s">
        <v>2279</v>
      </c>
      <c r="O326" s="190" t="str">
        <f t="shared" si="5"/>
        <v>[S05_BiomassInstallations][3][EnergyZeroRatedBiomass]</v>
      </c>
    </row>
    <row r="327" spans="1:15" x14ac:dyDescent="0.3">
      <c r="A327" t="s">
        <v>2277</v>
      </c>
      <c r="B327" t="s">
        <v>1910</v>
      </c>
      <c r="C327" t="s">
        <v>1912</v>
      </c>
      <c r="D327">
        <v>4</v>
      </c>
      <c r="E327" t="s">
        <v>1447</v>
      </c>
      <c r="F327" t="s">
        <v>1918</v>
      </c>
      <c r="G327" t="s">
        <v>1806</v>
      </c>
      <c r="H327" t="s">
        <v>2279</v>
      </c>
      <c r="I327" t="s">
        <v>2279</v>
      </c>
      <c r="J327">
        <v>77.824991999999995</v>
      </c>
      <c r="K327" t="s">
        <v>2279</v>
      </c>
      <c r="L327" t="s">
        <v>2279</v>
      </c>
      <c r="M327" t="s">
        <v>2279</v>
      </c>
      <c r="N327" t="s">
        <v>2279</v>
      </c>
      <c r="O327" s="190" t="str">
        <f t="shared" si="5"/>
        <v>[S05_BiomassInstallations][4][EnergyZeroRatedBiomass]</v>
      </c>
    </row>
    <row r="328" spans="1:15" x14ac:dyDescent="0.3">
      <c r="A328" t="s">
        <v>2277</v>
      </c>
      <c r="B328" t="s">
        <v>1910</v>
      </c>
      <c r="C328" t="s">
        <v>1912</v>
      </c>
      <c r="D328">
        <v>5</v>
      </c>
      <c r="E328" t="s">
        <v>1447</v>
      </c>
      <c r="F328" t="s">
        <v>1918</v>
      </c>
      <c r="G328" t="s">
        <v>1806</v>
      </c>
      <c r="H328" t="s">
        <v>2279</v>
      </c>
      <c r="I328" t="s">
        <v>2279</v>
      </c>
      <c r="J328">
        <v>3881.8549710278398</v>
      </c>
      <c r="K328" t="s">
        <v>2279</v>
      </c>
      <c r="L328" t="s">
        <v>2279</v>
      </c>
      <c r="M328" t="s">
        <v>2279</v>
      </c>
      <c r="N328" t="s">
        <v>2279</v>
      </c>
      <c r="O328" s="190" t="str">
        <f t="shared" si="5"/>
        <v>[S05_BiomassInstallations][5][EnergyZeroRatedBiomass]</v>
      </c>
    </row>
    <row r="329" spans="1:15" x14ac:dyDescent="0.3">
      <c r="A329" t="s">
        <v>2277</v>
      </c>
      <c r="B329" t="s">
        <v>1910</v>
      </c>
      <c r="C329" t="s">
        <v>1912</v>
      </c>
      <c r="D329">
        <v>6</v>
      </c>
      <c r="E329" t="s">
        <v>1447</v>
      </c>
      <c r="F329" t="s">
        <v>1918</v>
      </c>
      <c r="G329" t="s">
        <v>1806</v>
      </c>
      <c r="H329" t="s">
        <v>2279</v>
      </c>
      <c r="I329" t="s">
        <v>2279</v>
      </c>
      <c r="J329">
        <v>1906.0190258058401</v>
      </c>
      <c r="K329" t="s">
        <v>2279</v>
      </c>
      <c r="L329" t="s">
        <v>2279</v>
      </c>
      <c r="M329" t="s">
        <v>2279</v>
      </c>
      <c r="N329" t="s">
        <v>2279</v>
      </c>
      <c r="O329" s="190" t="str">
        <f t="shared" si="5"/>
        <v>[S05_BiomassInstallations][6][EnergyZeroRatedBiomass]</v>
      </c>
    </row>
    <row r="330" spans="1:15" x14ac:dyDescent="0.3">
      <c r="A330" t="s">
        <v>2277</v>
      </c>
      <c r="B330" t="s">
        <v>1910</v>
      </c>
      <c r="C330" t="s">
        <v>1912</v>
      </c>
      <c r="D330">
        <v>7</v>
      </c>
      <c r="E330" t="s">
        <v>1447</v>
      </c>
      <c r="F330" t="s">
        <v>1918</v>
      </c>
      <c r="G330" t="s">
        <v>1806</v>
      </c>
      <c r="H330" t="s">
        <v>2279</v>
      </c>
      <c r="I330" t="s">
        <v>2279</v>
      </c>
      <c r="J330">
        <v>3328.3262220000001</v>
      </c>
      <c r="K330" t="s">
        <v>2279</v>
      </c>
      <c r="L330" t="s">
        <v>2279</v>
      </c>
      <c r="M330" t="s">
        <v>2279</v>
      </c>
      <c r="N330" t="s">
        <v>2279</v>
      </c>
      <c r="O330" s="190" t="str">
        <f t="shared" si="5"/>
        <v>[S05_BiomassInstallations][7][EnergyZeroRatedBiomass]</v>
      </c>
    </row>
    <row r="331" spans="1:15" x14ac:dyDescent="0.3">
      <c r="A331" t="s">
        <v>2277</v>
      </c>
      <c r="B331" t="s">
        <v>1910</v>
      </c>
      <c r="C331" t="s">
        <v>1912</v>
      </c>
      <c r="D331">
        <v>8</v>
      </c>
      <c r="E331" t="s">
        <v>1447</v>
      </c>
      <c r="F331" t="s">
        <v>1918</v>
      </c>
      <c r="G331" t="s">
        <v>1806</v>
      </c>
      <c r="H331" t="s">
        <v>2279</v>
      </c>
      <c r="I331" t="s">
        <v>2279</v>
      </c>
      <c r="J331">
        <v>228.6551748</v>
      </c>
      <c r="K331" t="s">
        <v>2279</v>
      </c>
      <c r="L331" t="s">
        <v>2279</v>
      </c>
      <c r="M331" t="s">
        <v>2279</v>
      </c>
      <c r="N331" t="s">
        <v>2279</v>
      </c>
      <c r="O331" s="190" t="str">
        <f t="shared" si="5"/>
        <v>[S05_BiomassInstallations][8][EnergyZeroRatedBiomass]</v>
      </c>
    </row>
    <row r="332" spans="1:15" x14ac:dyDescent="0.3">
      <c r="A332" t="s">
        <v>2277</v>
      </c>
      <c r="B332" t="s">
        <v>1910</v>
      </c>
      <c r="C332" t="s">
        <v>1912</v>
      </c>
      <c r="D332">
        <v>9</v>
      </c>
      <c r="E332" t="s">
        <v>1447</v>
      </c>
      <c r="F332" t="s">
        <v>1918</v>
      </c>
      <c r="G332" t="s">
        <v>1806</v>
      </c>
      <c r="H332" t="s">
        <v>2279</v>
      </c>
      <c r="I332" t="s">
        <v>2279</v>
      </c>
      <c r="J332">
        <v>157.35938400000001</v>
      </c>
      <c r="K332" t="s">
        <v>2279</v>
      </c>
      <c r="L332" t="s">
        <v>2279</v>
      </c>
      <c r="M332" t="s">
        <v>2279</v>
      </c>
      <c r="N332" t="s">
        <v>2279</v>
      </c>
      <c r="O332" s="190" t="str">
        <f t="shared" si="5"/>
        <v>[S05_BiomassInstallations][9][EnergyZeroRatedBiomass]</v>
      </c>
    </row>
    <row r="333" spans="1:15" x14ac:dyDescent="0.3">
      <c r="A333" t="s">
        <v>2277</v>
      </c>
      <c r="B333" t="s">
        <v>1910</v>
      </c>
      <c r="C333" t="s">
        <v>1912</v>
      </c>
      <c r="D333">
        <v>1</v>
      </c>
      <c r="E333" t="s">
        <v>1447</v>
      </c>
      <c r="F333" t="s">
        <v>1919</v>
      </c>
      <c r="G333" t="s">
        <v>1806</v>
      </c>
      <c r="H333" t="s">
        <v>2279</v>
      </c>
      <c r="I333" t="s">
        <v>2279</v>
      </c>
      <c r="J333">
        <v>0</v>
      </c>
      <c r="K333" t="s">
        <v>2279</v>
      </c>
      <c r="L333" t="s">
        <v>2279</v>
      </c>
      <c r="M333" t="s">
        <v>2279</v>
      </c>
      <c r="N333" t="s">
        <v>2279</v>
      </c>
      <c r="O333" s="190" t="str">
        <f t="shared" si="5"/>
        <v>[S05_BiomassInstallations][1][EnergyNonZeroRatedBiomass]</v>
      </c>
    </row>
    <row r="334" spans="1:15" x14ac:dyDescent="0.3">
      <c r="A334" t="s">
        <v>2277</v>
      </c>
      <c r="B334" t="s">
        <v>1910</v>
      </c>
      <c r="C334" t="s">
        <v>1912</v>
      </c>
      <c r="D334">
        <v>2</v>
      </c>
      <c r="E334" t="s">
        <v>1447</v>
      </c>
      <c r="F334" t="s">
        <v>1919</v>
      </c>
      <c r="G334" t="s">
        <v>1806</v>
      </c>
      <c r="H334" t="s">
        <v>2279</v>
      </c>
      <c r="I334" t="s">
        <v>2279</v>
      </c>
      <c r="J334">
        <v>0</v>
      </c>
      <c r="K334" t="s">
        <v>2279</v>
      </c>
      <c r="L334" t="s">
        <v>2279</v>
      </c>
      <c r="M334" t="s">
        <v>2279</v>
      </c>
      <c r="N334" t="s">
        <v>2279</v>
      </c>
      <c r="O334" s="190" t="str">
        <f t="shared" si="5"/>
        <v>[S05_BiomassInstallations][2][EnergyNonZeroRatedBiomass]</v>
      </c>
    </row>
    <row r="335" spans="1:15" x14ac:dyDescent="0.3">
      <c r="A335" t="s">
        <v>2277</v>
      </c>
      <c r="B335" t="s">
        <v>1910</v>
      </c>
      <c r="C335" t="s">
        <v>1912</v>
      </c>
      <c r="D335">
        <v>3</v>
      </c>
      <c r="E335" t="s">
        <v>1447</v>
      </c>
      <c r="F335" t="s">
        <v>1919</v>
      </c>
      <c r="G335" t="s">
        <v>1806</v>
      </c>
      <c r="H335" t="s">
        <v>2279</v>
      </c>
      <c r="I335" t="s">
        <v>2279</v>
      </c>
      <c r="J335">
        <v>0</v>
      </c>
      <c r="K335" t="s">
        <v>2279</v>
      </c>
      <c r="L335" t="s">
        <v>2279</v>
      </c>
      <c r="M335" t="s">
        <v>2279</v>
      </c>
      <c r="N335" t="s">
        <v>2279</v>
      </c>
      <c r="O335" s="190" t="str">
        <f t="shared" si="5"/>
        <v>[S05_BiomassInstallations][3][EnergyNonZeroRatedBiomass]</v>
      </c>
    </row>
    <row r="336" spans="1:15" x14ac:dyDescent="0.3">
      <c r="A336" t="s">
        <v>2277</v>
      </c>
      <c r="B336" t="s">
        <v>1910</v>
      </c>
      <c r="C336" t="s">
        <v>1912</v>
      </c>
      <c r="D336">
        <v>4</v>
      </c>
      <c r="E336" t="s">
        <v>1447</v>
      </c>
      <c r="F336" t="s">
        <v>1919</v>
      </c>
      <c r="G336" t="s">
        <v>1806</v>
      </c>
      <c r="H336" t="s">
        <v>2279</v>
      </c>
      <c r="I336" t="s">
        <v>2279</v>
      </c>
      <c r="J336">
        <v>0</v>
      </c>
      <c r="K336" t="s">
        <v>2279</v>
      </c>
      <c r="L336" t="s">
        <v>2279</v>
      </c>
      <c r="M336" t="s">
        <v>2279</v>
      </c>
      <c r="N336" t="s">
        <v>2279</v>
      </c>
      <c r="O336" s="190" t="str">
        <f t="shared" si="5"/>
        <v>[S05_BiomassInstallations][4][EnergyNonZeroRatedBiomass]</v>
      </c>
    </row>
    <row r="337" spans="1:15" x14ac:dyDescent="0.3">
      <c r="A337" t="s">
        <v>2277</v>
      </c>
      <c r="B337" t="s">
        <v>1910</v>
      </c>
      <c r="C337" t="s">
        <v>1912</v>
      </c>
      <c r="D337">
        <v>5</v>
      </c>
      <c r="E337" t="s">
        <v>1447</v>
      </c>
      <c r="F337" t="s">
        <v>1919</v>
      </c>
      <c r="G337" t="s">
        <v>1806</v>
      </c>
      <c r="H337" t="s">
        <v>2279</v>
      </c>
      <c r="I337" t="s">
        <v>2279</v>
      </c>
      <c r="J337">
        <v>0</v>
      </c>
      <c r="K337" t="s">
        <v>2279</v>
      </c>
      <c r="L337" t="s">
        <v>2279</v>
      </c>
      <c r="M337" t="s">
        <v>2279</v>
      </c>
      <c r="N337" t="s">
        <v>2279</v>
      </c>
      <c r="O337" s="190" t="str">
        <f t="shared" si="5"/>
        <v>[S05_BiomassInstallations][5][EnergyNonZeroRatedBiomass]</v>
      </c>
    </row>
    <row r="338" spans="1:15" x14ac:dyDescent="0.3">
      <c r="A338" t="s">
        <v>2277</v>
      </c>
      <c r="B338" t="s">
        <v>1910</v>
      </c>
      <c r="C338" t="s">
        <v>1912</v>
      </c>
      <c r="D338">
        <v>6</v>
      </c>
      <c r="E338" t="s">
        <v>1447</v>
      </c>
      <c r="F338" t="s">
        <v>1919</v>
      </c>
      <c r="G338" t="s">
        <v>1806</v>
      </c>
      <c r="H338" t="s">
        <v>2279</v>
      </c>
      <c r="I338" t="s">
        <v>2279</v>
      </c>
      <c r="J338">
        <v>0</v>
      </c>
      <c r="K338" t="s">
        <v>2279</v>
      </c>
      <c r="L338" t="s">
        <v>2279</v>
      </c>
      <c r="M338" t="s">
        <v>2279</v>
      </c>
      <c r="N338" t="s">
        <v>2279</v>
      </c>
      <c r="O338" s="190" t="str">
        <f t="shared" si="5"/>
        <v>[S05_BiomassInstallations][6][EnergyNonZeroRatedBiomass]</v>
      </c>
    </row>
    <row r="339" spans="1:15" x14ac:dyDescent="0.3">
      <c r="A339" t="s">
        <v>2277</v>
      </c>
      <c r="B339" t="s">
        <v>1910</v>
      </c>
      <c r="C339" t="s">
        <v>1912</v>
      </c>
      <c r="D339">
        <v>7</v>
      </c>
      <c r="E339" t="s">
        <v>1447</v>
      </c>
      <c r="F339" t="s">
        <v>1919</v>
      </c>
      <c r="G339" t="s">
        <v>1806</v>
      </c>
      <c r="H339" t="s">
        <v>2279</v>
      </c>
      <c r="I339" t="s">
        <v>2279</v>
      </c>
      <c r="J339">
        <v>0</v>
      </c>
      <c r="K339" t="s">
        <v>2279</v>
      </c>
      <c r="L339" t="s">
        <v>2279</v>
      </c>
      <c r="M339" t="s">
        <v>2279</v>
      </c>
      <c r="N339" t="s">
        <v>2279</v>
      </c>
      <c r="O339" s="190" t="str">
        <f t="shared" si="5"/>
        <v>[S05_BiomassInstallations][7][EnergyNonZeroRatedBiomass]</v>
      </c>
    </row>
    <row r="340" spans="1:15" x14ac:dyDescent="0.3">
      <c r="A340" t="s">
        <v>2277</v>
      </c>
      <c r="B340" t="s">
        <v>1910</v>
      </c>
      <c r="C340" t="s">
        <v>1912</v>
      </c>
      <c r="D340">
        <v>8</v>
      </c>
      <c r="E340" t="s">
        <v>1447</v>
      </c>
      <c r="F340" t="s">
        <v>1919</v>
      </c>
      <c r="G340" t="s">
        <v>1806</v>
      </c>
      <c r="H340" t="s">
        <v>2279</v>
      </c>
      <c r="I340" t="s">
        <v>2279</v>
      </c>
      <c r="J340">
        <v>0</v>
      </c>
      <c r="K340" t="s">
        <v>2279</v>
      </c>
      <c r="L340" t="s">
        <v>2279</v>
      </c>
      <c r="M340" t="s">
        <v>2279</v>
      </c>
      <c r="N340" t="s">
        <v>2279</v>
      </c>
      <c r="O340" s="190" t="str">
        <f t="shared" si="5"/>
        <v>[S05_BiomassInstallations][8][EnergyNonZeroRatedBiomass]</v>
      </c>
    </row>
    <row r="341" spans="1:15" x14ac:dyDescent="0.3">
      <c r="A341" t="s">
        <v>2277</v>
      </c>
      <c r="B341" t="s">
        <v>1910</v>
      </c>
      <c r="C341" t="s">
        <v>1912</v>
      </c>
      <c r="D341">
        <v>9</v>
      </c>
      <c r="E341" t="s">
        <v>1447</v>
      </c>
      <c r="F341" t="s">
        <v>1919</v>
      </c>
      <c r="G341" t="s">
        <v>1806</v>
      </c>
      <c r="H341" t="s">
        <v>2279</v>
      </c>
      <c r="I341" t="s">
        <v>2279</v>
      </c>
      <c r="J341">
        <v>0</v>
      </c>
      <c r="K341" t="s">
        <v>2279</v>
      </c>
      <c r="L341" t="s">
        <v>2279</v>
      </c>
      <c r="M341" t="s">
        <v>2279</v>
      </c>
      <c r="N341" t="s">
        <v>2279</v>
      </c>
      <c r="O341" s="190" t="str">
        <f t="shared" si="5"/>
        <v>[S05_BiomassInstallations][9][EnergyNonZeroRatedBiomass]</v>
      </c>
    </row>
    <row r="342" spans="1:15" x14ac:dyDescent="0.3">
      <c r="A342" t="s">
        <v>2277</v>
      </c>
      <c r="B342" t="s">
        <v>1910</v>
      </c>
      <c r="C342" t="s">
        <v>1912</v>
      </c>
      <c r="D342">
        <v>1</v>
      </c>
      <c r="E342" t="s">
        <v>1447</v>
      </c>
      <c r="F342" t="s">
        <v>1920</v>
      </c>
      <c r="G342" t="s">
        <v>1806</v>
      </c>
      <c r="H342" t="s">
        <v>2279</v>
      </c>
      <c r="I342" t="s">
        <v>2279</v>
      </c>
      <c r="J342">
        <v>3988.9630043398001</v>
      </c>
      <c r="K342" t="s">
        <v>2279</v>
      </c>
      <c r="L342" t="s">
        <v>2279</v>
      </c>
      <c r="M342" t="s">
        <v>2279</v>
      </c>
      <c r="N342" t="s">
        <v>2279</v>
      </c>
      <c r="O342" s="190" t="str">
        <f t="shared" si="5"/>
        <v>[S05_BiomassInstallations][1][EnergyFossil]</v>
      </c>
    </row>
    <row r="343" spans="1:15" x14ac:dyDescent="0.3">
      <c r="A343" t="s">
        <v>2277</v>
      </c>
      <c r="B343" t="s">
        <v>1910</v>
      </c>
      <c r="C343" t="s">
        <v>1912</v>
      </c>
      <c r="D343">
        <v>2</v>
      </c>
      <c r="E343" t="s">
        <v>1447</v>
      </c>
      <c r="F343" t="s">
        <v>1920</v>
      </c>
      <c r="G343" t="s">
        <v>1806</v>
      </c>
      <c r="H343" t="s">
        <v>2279</v>
      </c>
      <c r="I343" t="s">
        <v>2279</v>
      </c>
      <c r="J343">
        <v>5900.4375938599997</v>
      </c>
      <c r="K343" t="s">
        <v>2279</v>
      </c>
      <c r="L343" t="s">
        <v>2279</v>
      </c>
      <c r="M343" t="s">
        <v>2279</v>
      </c>
      <c r="N343" t="s">
        <v>2279</v>
      </c>
      <c r="O343" s="190" t="str">
        <f t="shared" si="5"/>
        <v>[S05_BiomassInstallations][2][EnergyFossil]</v>
      </c>
    </row>
    <row r="344" spans="1:15" x14ac:dyDescent="0.3">
      <c r="A344" t="s">
        <v>2277</v>
      </c>
      <c r="B344" t="s">
        <v>1910</v>
      </c>
      <c r="C344" t="s">
        <v>1912</v>
      </c>
      <c r="D344">
        <v>3</v>
      </c>
      <c r="E344" t="s">
        <v>1447</v>
      </c>
      <c r="F344" t="s">
        <v>1920</v>
      </c>
      <c r="G344" t="s">
        <v>1806</v>
      </c>
      <c r="H344" t="s">
        <v>2279</v>
      </c>
      <c r="I344" t="s">
        <v>2279</v>
      </c>
      <c r="J344">
        <v>2707.9424900919998</v>
      </c>
      <c r="K344" t="s">
        <v>2279</v>
      </c>
      <c r="L344" t="s">
        <v>2279</v>
      </c>
      <c r="M344" t="s">
        <v>2279</v>
      </c>
      <c r="N344" t="s">
        <v>2279</v>
      </c>
      <c r="O344" s="190" t="str">
        <f t="shared" si="5"/>
        <v>[S05_BiomassInstallations][3][EnergyFossil]</v>
      </c>
    </row>
    <row r="345" spans="1:15" x14ac:dyDescent="0.3">
      <c r="A345" t="s">
        <v>2277</v>
      </c>
      <c r="B345" t="s">
        <v>1921</v>
      </c>
      <c r="C345" t="s">
        <v>1922</v>
      </c>
      <c r="D345">
        <v>0</v>
      </c>
      <c r="E345" t="s">
        <v>1447</v>
      </c>
      <c r="F345" t="s">
        <v>1922</v>
      </c>
      <c r="G345" t="s">
        <v>1806</v>
      </c>
      <c r="H345" t="s">
        <v>2279</v>
      </c>
      <c r="I345" t="s">
        <v>2279</v>
      </c>
      <c r="J345">
        <v>139853.70000000001</v>
      </c>
      <c r="K345" t="s">
        <v>2279</v>
      </c>
      <c r="L345" t="s">
        <v>2279</v>
      </c>
      <c r="M345" t="s">
        <v>2279</v>
      </c>
      <c r="N345" t="s">
        <v>2279</v>
      </c>
      <c r="O345" s="190" t="str">
        <f t="shared" si="5"/>
        <v>[WasteFuelFossilCO2][0][WasteFuelFossilCO2]</v>
      </c>
    </row>
    <row r="346" spans="1:15" x14ac:dyDescent="0.3">
      <c r="A346" t="s">
        <v>2277</v>
      </c>
      <c r="B346" t="s">
        <v>1923</v>
      </c>
      <c r="C346" t="s">
        <v>1924</v>
      </c>
      <c r="D346">
        <v>0</v>
      </c>
      <c r="E346" t="s">
        <v>1447</v>
      </c>
      <c r="F346" t="s">
        <v>1924</v>
      </c>
      <c r="G346" t="s">
        <v>1759</v>
      </c>
      <c r="H346" t="s">
        <v>2279</v>
      </c>
      <c r="I346" t="s">
        <v>2279</v>
      </c>
      <c r="J346" t="s">
        <v>2279</v>
      </c>
      <c r="K346" t="s">
        <v>2279</v>
      </c>
      <c r="L346" t="s">
        <v>1447</v>
      </c>
      <c r="M346" t="s">
        <v>2279</v>
      </c>
      <c r="N346" t="s">
        <v>2279</v>
      </c>
      <c r="O346" s="190" t="str">
        <f t="shared" si="5"/>
        <v>[SimplifiedMonitoringArt13][0][SimplifiedMonitoringArt13]</v>
      </c>
    </row>
    <row r="347" spans="1:15" x14ac:dyDescent="0.3">
      <c r="A347" t="s">
        <v>2277</v>
      </c>
      <c r="B347" t="s">
        <v>1928</v>
      </c>
      <c r="C347" t="s">
        <v>1929</v>
      </c>
      <c r="D347">
        <v>1</v>
      </c>
      <c r="E347" t="s">
        <v>1447</v>
      </c>
      <c r="F347" t="s">
        <v>1930</v>
      </c>
      <c r="G347" t="s">
        <v>1748</v>
      </c>
      <c r="H347" t="s">
        <v>2279</v>
      </c>
      <c r="I347">
        <v>0</v>
      </c>
      <c r="J347" t="s">
        <v>2279</v>
      </c>
      <c r="K347" t="s">
        <v>2279</v>
      </c>
      <c r="L347" t="s">
        <v>2279</v>
      </c>
      <c r="M347" t="s">
        <v>2279</v>
      </c>
      <c r="N347" t="s">
        <v>2279</v>
      </c>
      <c r="O347" s="190" t="str">
        <f t="shared" si="5"/>
        <v>[S05_AircraftMethodFuelConsumption][1][CountAircraftOperators]</v>
      </c>
    </row>
    <row r="348" spans="1:15" x14ac:dyDescent="0.3">
      <c r="A348" t="s">
        <v>2277</v>
      </c>
      <c r="B348" t="s">
        <v>1928</v>
      </c>
      <c r="C348" t="s">
        <v>1929</v>
      </c>
      <c r="D348">
        <v>2</v>
      </c>
      <c r="E348" t="s">
        <v>1447</v>
      </c>
      <c r="F348" t="s">
        <v>1930</v>
      </c>
      <c r="G348" t="s">
        <v>1748</v>
      </c>
      <c r="H348" t="s">
        <v>2279</v>
      </c>
      <c r="I348">
        <v>4</v>
      </c>
      <c r="J348" t="s">
        <v>2279</v>
      </c>
      <c r="K348" t="s">
        <v>2279</v>
      </c>
      <c r="L348" t="s">
        <v>2279</v>
      </c>
      <c r="M348" t="s">
        <v>2279</v>
      </c>
      <c r="N348" t="s">
        <v>2279</v>
      </c>
      <c r="O348" s="190" t="str">
        <f t="shared" si="5"/>
        <v>[S05_AircraftMethodFuelConsumption][2][CountAircraftOperators]</v>
      </c>
    </row>
    <row r="349" spans="1:15" x14ac:dyDescent="0.3">
      <c r="A349" t="s">
        <v>2277</v>
      </c>
      <c r="B349" t="s">
        <v>1928</v>
      </c>
      <c r="C349" t="s">
        <v>1929</v>
      </c>
      <c r="D349">
        <v>3</v>
      </c>
      <c r="E349" t="s">
        <v>1447</v>
      </c>
      <c r="F349" t="s">
        <v>1930</v>
      </c>
      <c r="G349" t="s">
        <v>1748</v>
      </c>
      <c r="H349" t="s">
        <v>2279</v>
      </c>
      <c r="I349">
        <v>0</v>
      </c>
      <c r="J349" t="s">
        <v>2279</v>
      </c>
      <c r="K349" t="s">
        <v>2279</v>
      </c>
      <c r="L349" t="s">
        <v>2279</v>
      </c>
      <c r="M349" t="s">
        <v>2279</v>
      </c>
      <c r="N349" t="s">
        <v>2279</v>
      </c>
      <c r="O349" s="190" t="str">
        <f t="shared" si="5"/>
        <v>[S05_AircraftMethodFuelConsumption][3][CountAircraftOperators]</v>
      </c>
    </row>
    <row r="350" spans="1:15" x14ac:dyDescent="0.3">
      <c r="A350" t="s">
        <v>2277</v>
      </c>
      <c r="B350" t="s">
        <v>1928</v>
      </c>
      <c r="C350" t="s">
        <v>1929</v>
      </c>
      <c r="D350">
        <v>1</v>
      </c>
      <c r="E350" t="s">
        <v>1447</v>
      </c>
      <c r="F350" t="s">
        <v>1931</v>
      </c>
      <c r="G350" t="s">
        <v>1806</v>
      </c>
      <c r="H350" t="s">
        <v>2279</v>
      </c>
      <c r="I350" t="s">
        <v>2279</v>
      </c>
      <c r="J350">
        <v>0</v>
      </c>
      <c r="K350" t="s">
        <v>2279</v>
      </c>
      <c r="L350" t="s">
        <v>2279</v>
      </c>
      <c r="M350" t="s">
        <v>2279</v>
      </c>
      <c r="N350" t="s">
        <v>2279</v>
      </c>
      <c r="O350" s="190" t="str">
        <f t="shared" si="5"/>
        <v>[S05_AircraftMethodFuelConsumption][1][SmallEmittersShare]</v>
      </c>
    </row>
    <row r="351" spans="1:15" x14ac:dyDescent="0.3">
      <c r="A351" t="s">
        <v>2277</v>
      </c>
      <c r="B351" t="s">
        <v>1928</v>
      </c>
      <c r="C351" t="s">
        <v>1929</v>
      </c>
      <c r="D351">
        <v>2</v>
      </c>
      <c r="E351" t="s">
        <v>1447</v>
      </c>
      <c r="F351" t="s">
        <v>1931</v>
      </c>
      <c r="G351" t="s">
        <v>1806</v>
      </c>
      <c r="H351" t="s">
        <v>2279</v>
      </c>
      <c r="I351" t="s">
        <v>2279</v>
      </c>
      <c r="J351">
        <v>0.25</v>
      </c>
      <c r="K351" t="s">
        <v>2279</v>
      </c>
      <c r="L351" t="s">
        <v>2279</v>
      </c>
      <c r="M351" t="s">
        <v>2279</v>
      </c>
      <c r="N351" t="s">
        <v>2279</v>
      </c>
      <c r="O351" s="190" t="str">
        <f t="shared" si="5"/>
        <v>[S05_AircraftMethodFuelConsumption][2][SmallEmittersShare]</v>
      </c>
    </row>
    <row r="352" spans="1:15" x14ac:dyDescent="0.3">
      <c r="A352" t="s">
        <v>2277</v>
      </c>
      <c r="B352" t="s">
        <v>1928</v>
      </c>
      <c r="C352" t="s">
        <v>1929</v>
      </c>
      <c r="D352">
        <v>3</v>
      </c>
      <c r="E352" t="s">
        <v>1447</v>
      </c>
      <c r="F352" t="s">
        <v>1931</v>
      </c>
      <c r="G352" t="s">
        <v>1806</v>
      </c>
      <c r="H352" t="s">
        <v>2279</v>
      </c>
      <c r="I352" t="s">
        <v>2279</v>
      </c>
      <c r="J352">
        <v>0</v>
      </c>
      <c r="K352" t="s">
        <v>2279</v>
      </c>
      <c r="L352" t="s">
        <v>2279</v>
      </c>
      <c r="M352" t="s">
        <v>2279</v>
      </c>
      <c r="N352" t="s">
        <v>2279</v>
      </c>
      <c r="O352" s="190" t="str">
        <f t="shared" si="5"/>
        <v>[S05_AircraftMethodFuelConsumption][3][SmallEmittersShare]</v>
      </c>
    </row>
    <row r="353" spans="1:15" x14ac:dyDescent="0.3">
      <c r="A353" t="s">
        <v>2277</v>
      </c>
      <c r="B353" t="s">
        <v>1932</v>
      </c>
      <c r="C353" t="s">
        <v>1933</v>
      </c>
      <c r="D353">
        <v>1</v>
      </c>
      <c r="E353" t="s">
        <v>1447</v>
      </c>
      <c r="F353" t="s">
        <v>1934</v>
      </c>
      <c r="G353" t="s">
        <v>1806</v>
      </c>
      <c r="H353" t="s">
        <v>2279</v>
      </c>
      <c r="I353" t="s">
        <v>2279</v>
      </c>
      <c r="J353">
        <v>120858</v>
      </c>
      <c r="K353" t="s">
        <v>2279</v>
      </c>
      <c r="L353" t="s">
        <v>2279</v>
      </c>
      <c r="M353" t="s">
        <v>2279</v>
      </c>
      <c r="N353" t="s">
        <v>2279</v>
      </c>
      <c r="O353" s="190" t="str">
        <f t="shared" si="5"/>
        <v>[S05_TotalFlightEmissions][1][TotalFlightEmissions]</v>
      </c>
    </row>
    <row r="354" spans="1:15" x14ac:dyDescent="0.3">
      <c r="A354" t="s">
        <v>2277</v>
      </c>
      <c r="B354" t="s">
        <v>1932</v>
      </c>
      <c r="C354" t="s">
        <v>1933</v>
      </c>
      <c r="D354">
        <v>2</v>
      </c>
      <c r="E354" t="s">
        <v>1447</v>
      </c>
      <c r="F354" t="s">
        <v>1934</v>
      </c>
      <c r="G354" t="s">
        <v>1806</v>
      </c>
      <c r="H354" t="s">
        <v>2279</v>
      </c>
      <c r="I354" t="s">
        <v>2279</v>
      </c>
      <c r="J354">
        <v>18832</v>
      </c>
      <c r="K354" t="s">
        <v>2279</v>
      </c>
      <c r="L354" t="s">
        <v>2279</v>
      </c>
      <c r="M354" t="s">
        <v>2279</v>
      </c>
      <c r="N354" t="s">
        <v>2279</v>
      </c>
      <c r="O354" s="190" t="str">
        <f t="shared" si="5"/>
        <v>[S05_TotalFlightEmissions][2][TotalFlightEmissions]</v>
      </c>
    </row>
    <row r="355" spans="1:15" x14ac:dyDescent="0.3">
      <c r="A355" t="s">
        <v>2277</v>
      </c>
      <c r="B355" t="s">
        <v>1932</v>
      </c>
      <c r="C355" t="s">
        <v>1933</v>
      </c>
      <c r="D355">
        <v>3</v>
      </c>
      <c r="E355" t="s">
        <v>1447</v>
      </c>
      <c r="F355" t="s">
        <v>1934</v>
      </c>
      <c r="G355" t="s">
        <v>1806</v>
      </c>
      <c r="H355" t="s">
        <v>2279</v>
      </c>
      <c r="I355" t="s">
        <v>2279</v>
      </c>
      <c r="J355">
        <v>138218</v>
      </c>
      <c r="K355" t="s">
        <v>2279</v>
      </c>
      <c r="L355" t="s">
        <v>2279</v>
      </c>
      <c r="M355" t="s">
        <v>2279</v>
      </c>
      <c r="N355" t="s">
        <v>2279</v>
      </c>
      <c r="O355" s="190" t="str">
        <f t="shared" si="5"/>
        <v>[S05_TotalFlightEmissions][3][TotalFlightEmissions]</v>
      </c>
    </row>
    <row r="356" spans="1:15" x14ac:dyDescent="0.3">
      <c r="A356" t="s">
        <v>2277</v>
      </c>
      <c r="B356" t="s">
        <v>1932</v>
      </c>
      <c r="C356" t="s">
        <v>1933</v>
      </c>
      <c r="D356">
        <v>5</v>
      </c>
      <c r="E356" t="s">
        <v>1447</v>
      </c>
      <c r="F356" t="s">
        <v>1934</v>
      </c>
      <c r="G356" t="s">
        <v>1806</v>
      </c>
      <c r="H356" t="s">
        <v>2279</v>
      </c>
      <c r="I356" t="s">
        <v>2279</v>
      </c>
      <c r="J356">
        <v>1474</v>
      </c>
      <c r="K356" t="s">
        <v>2279</v>
      </c>
      <c r="L356" t="s">
        <v>2279</v>
      </c>
      <c r="M356" t="s">
        <v>2279</v>
      </c>
      <c r="N356" t="s">
        <v>2279</v>
      </c>
      <c r="O356" s="190" t="str">
        <f t="shared" si="5"/>
        <v>[S05_TotalFlightEmissions][5][TotalFlightEmissions]</v>
      </c>
    </row>
    <row r="357" spans="1:15" x14ac:dyDescent="0.3">
      <c r="A357" t="s">
        <v>2277</v>
      </c>
      <c r="B357" t="s">
        <v>1932</v>
      </c>
      <c r="C357" t="s">
        <v>1935</v>
      </c>
      <c r="D357">
        <v>0</v>
      </c>
      <c r="E357" t="s">
        <v>1447</v>
      </c>
      <c r="F357" t="s">
        <v>1935</v>
      </c>
      <c r="G357" t="s">
        <v>1748</v>
      </c>
      <c r="H357" t="s">
        <v>2279</v>
      </c>
      <c r="I357">
        <v>2</v>
      </c>
      <c r="J357" t="s">
        <v>2279</v>
      </c>
      <c r="K357" t="s">
        <v>2279</v>
      </c>
      <c r="L357" t="s">
        <v>2279</v>
      </c>
      <c r="M357" t="s">
        <v>2279</v>
      </c>
      <c r="N357" t="s">
        <v>2279</v>
      </c>
      <c r="O357" s="190" t="str">
        <f t="shared" si="5"/>
        <v>[CountOperatorsThirdCountries][0][CountOperatorsThirdCountries]</v>
      </c>
    </row>
    <row r="358" spans="1:15" x14ac:dyDescent="0.3">
      <c r="A358" t="s">
        <v>2277</v>
      </c>
      <c r="B358" t="s">
        <v>1936</v>
      </c>
      <c r="C358" t="s">
        <v>1937</v>
      </c>
      <c r="D358">
        <v>0</v>
      </c>
      <c r="E358" t="s">
        <v>1447</v>
      </c>
      <c r="F358" t="s">
        <v>1937</v>
      </c>
      <c r="G358" t="s">
        <v>1748</v>
      </c>
      <c r="H358" t="s">
        <v>2279</v>
      </c>
      <c r="I358">
        <v>0</v>
      </c>
      <c r="J358" t="s">
        <v>2279</v>
      </c>
      <c r="K358" t="s">
        <v>2279</v>
      </c>
      <c r="L358" t="s">
        <v>2279</v>
      </c>
      <c r="M358" t="s">
        <v>2279</v>
      </c>
      <c r="N358" t="s">
        <v>2279</v>
      </c>
      <c r="O358" s="190" t="str">
        <f t="shared" si="5"/>
        <v>[CountOperatorsUsingBiofuels][0][CountOperatorsUsingBiofuels]</v>
      </c>
    </row>
    <row r="359" spans="1:15" x14ac:dyDescent="0.3">
      <c r="A359" t="s">
        <v>2277</v>
      </c>
      <c r="B359" t="s">
        <v>1940</v>
      </c>
      <c r="C359" t="s">
        <v>1941</v>
      </c>
      <c r="D359">
        <v>1</v>
      </c>
      <c r="E359" t="s">
        <v>1447</v>
      </c>
      <c r="F359" t="s">
        <v>1942</v>
      </c>
      <c r="G359" t="s">
        <v>1748</v>
      </c>
      <c r="H359" t="s">
        <v>2279</v>
      </c>
      <c r="I359">
        <v>0</v>
      </c>
      <c r="J359" t="s">
        <v>2279</v>
      </c>
      <c r="K359" t="s">
        <v>2279</v>
      </c>
      <c r="L359" t="s">
        <v>2279</v>
      </c>
      <c r="M359" t="s">
        <v>2279</v>
      </c>
      <c r="N359" t="s">
        <v>2279</v>
      </c>
      <c r="O359" s="190" t="str">
        <f t="shared" si="5"/>
        <v>[S05_SmallEmittersTool][1][CountSmallEmitters]</v>
      </c>
    </row>
    <row r="360" spans="1:15" x14ac:dyDescent="0.3">
      <c r="A360" t="s">
        <v>2277</v>
      </c>
      <c r="B360" t="s">
        <v>1940</v>
      </c>
      <c r="C360" t="s">
        <v>1941</v>
      </c>
      <c r="D360">
        <v>2</v>
      </c>
      <c r="E360" t="s">
        <v>1447</v>
      </c>
      <c r="F360" t="s">
        <v>1942</v>
      </c>
      <c r="G360" t="s">
        <v>1748</v>
      </c>
      <c r="H360" t="s">
        <v>2279</v>
      </c>
      <c r="I360">
        <v>0</v>
      </c>
      <c r="J360" t="s">
        <v>2279</v>
      </c>
      <c r="K360" t="s">
        <v>2279</v>
      </c>
      <c r="L360" t="s">
        <v>2279</v>
      </c>
      <c r="M360" t="s">
        <v>2279</v>
      </c>
      <c r="N360" t="s">
        <v>2279</v>
      </c>
      <c r="O360" s="190" t="str">
        <f t="shared" si="5"/>
        <v>[S05_SmallEmittersTool][2][CountSmallEmitters]</v>
      </c>
    </row>
    <row r="361" spans="1:15" x14ac:dyDescent="0.3">
      <c r="A361" t="s">
        <v>2277</v>
      </c>
      <c r="B361" t="s">
        <v>1940</v>
      </c>
      <c r="C361" t="s">
        <v>1941</v>
      </c>
      <c r="D361">
        <v>3</v>
      </c>
      <c r="E361" t="s">
        <v>1447</v>
      </c>
      <c r="F361" t="s">
        <v>1942</v>
      </c>
      <c r="G361" t="s">
        <v>1748</v>
      </c>
      <c r="H361" t="s">
        <v>2279</v>
      </c>
      <c r="I361">
        <v>0</v>
      </c>
      <c r="J361" t="s">
        <v>2279</v>
      </c>
      <c r="K361" t="s">
        <v>2279</v>
      </c>
      <c r="L361" t="s">
        <v>2279</v>
      </c>
      <c r="M361" t="s">
        <v>2279</v>
      </c>
      <c r="N361" t="s">
        <v>2279</v>
      </c>
      <c r="O361" s="190" t="str">
        <f t="shared" si="5"/>
        <v>[S05_SmallEmittersTool][3][CountSmallEmitters]</v>
      </c>
    </row>
    <row r="362" spans="1:15" x14ac:dyDescent="0.3">
      <c r="A362" t="s">
        <v>2277</v>
      </c>
      <c r="B362" t="s">
        <v>1940</v>
      </c>
      <c r="C362" t="s">
        <v>1941</v>
      </c>
      <c r="D362">
        <v>4</v>
      </c>
      <c r="E362" t="s">
        <v>1447</v>
      </c>
      <c r="F362" t="s">
        <v>1942</v>
      </c>
      <c r="G362" t="s">
        <v>1748</v>
      </c>
      <c r="H362" t="s">
        <v>2279</v>
      </c>
      <c r="I362">
        <v>0</v>
      </c>
      <c r="J362" t="s">
        <v>2279</v>
      </c>
      <c r="K362" t="s">
        <v>2279</v>
      </c>
      <c r="L362" t="s">
        <v>2279</v>
      </c>
      <c r="M362" t="s">
        <v>2279</v>
      </c>
      <c r="N362" t="s">
        <v>2279</v>
      </c>
      <c r="O362" s="190" t="str">
        <f t="shared" si="5"/>
        <v>[S05_SmallEmittersTool][4][CountSmallEmitters]</v>
      </c>
    </row>
    <row r="363" spans="1:15" x14ac:dyDescent="0.3">
      <c r="A363" t="s">
        <v>2277</v>
      </c>
      <c r="B363" t="s">
        <v>1946</v>
      </c>
      <c r="C363" t="s">
        <v>1947</v>
      </c>
      <c r="D363">
        <v>0</v>
      </c>
      <c r="E363" t="s">
        <v>1447</v>
      </c>
      <c r="F363" t="s">
        <v>1947</v>
      </c>
      <c r="G363" t="s">
        <v>1759</v>
      </c>
      <c r="H363" t="s">
        <v>2279</v>
      </c>
      <c r="I363" t="s">
        <v>2279</v>
      </c>
      <c r="J363" t="s">
        <v>2279</v>
      </c>
      <c r="K363" t="s">
        <v>2279</v>
      </c>
      <c r="L363" t="s">
        <v>1447</v>
      </c>
      <c r="M363" t="s">
        <v>2279</v>
      </c>
      <c r="N363" t="s">
        <v>2279</v>
      </c>
      <c r="O363" s="190" t="str">
        <f t="shared" si="5"/>
        <v>[AircraftSimplifiedMonitoringArt13][0][AircraftSimplifiedMonitoringArt13]</v>
      </c>
    </row>
    <row r="364" spans="1:15" x14ac:dyDescent="0.3">
      <c r="A364" t="s">
        <v>2277</v>
      </c>
      <c r="B364" t="s">
        <v>1951</v>
      </c>
      <c r="C364" t="s">
        <v>1952</v>
      </c>
      <c r="D364">
        <v>1</v>
      </c>
      <c r="E364" t="s">
        <v>1447</v>
      </c>
      <c r="F364" t="s">
        <v>1953</v>
      </c>
      <c r="G364" t="s">
        <v>1748</v>
      </c>
      <c r="H364" t="s">
        <v>2279</v>
      </c>
      <c r="I364">
        <v>3</v>
      </c>
      <c r="J364" t="s">
        <v>2279</v>
      </c>
      <c r="K364" t="s">
        <v>2279</v>
      </c>
      <c r="L364" t="s">
        <v>2279</v>
      </c>
      <c r="M364" t="s">
        <v>2279</v>
      </c>
      <c r="N364" t="s">
        <v>2279</v>
      </c>
      <c r="O364" s="190" t="str">
        <f t="shared" si="5"/>
        <v>[S06_TotalVerifiers][1][CountVerifiersInstallations]</v>
      </c>
    </row>
    <row r="365" spans="1:15" x14ac:dyDescent="0.3">
      <c r="A365" t="s">
        <v>2277</v>
      </c>
      <c r="B365" t="s">
        <v>1951</v>
      </c>
      <c r="C365" t="s">
        <v>1952</v>
      </c>
      <c r="D365">
        <v>2</v>
      </c>
      <c r="E365" t="s">
        <v>1447</v>
      </c>
      <c r="F365" t="s">
        <v>1953</v>
      </c>
      <c r="G365" t="s">
        <v>1748</v>
      </c>
      <c r="H365" t="s">
        <v>2279</v>
      </c>
      <c r="I365">
        <v>3</v>
      </c>
      <c r="J365" t="s">
        <v>2279</v>
      </c>
      <c r="K365" t="s">
        <v>2279</v>
      </c>
      <c r="L365" t="s">
        <v>2279</v>
      </c>
      <c r="M365" t="s">
        <v>2279</v>
      </c>
      <c r="N365" t="s">
        <v>2279</v>
      </c>
      <c r="O365" s="190" t="str">
        <f t="shared" si="5"/>
        <v>[S06_TotalVerifiers][2][CountVerifiersInstallations]</v>
      </c>
    </row>
    <row r="366" spans="1:15" x14ac:dyDescent="0.3">
      <c r="A366" t="s">
        <v>2277</v>
      </c>
      <c r="B366" t="s">
        <v>1951</v>
      </c>
      <c r="C366" t="s">
        <v>1952</v>
      </c>
      <c r="D366">
        <v>3</v>
      </c>
      <c r="E366" t="s">
        <v>1447</v>
      </c>
      <c r="F366" t="s">
        <v>1953</v>
      </c>
      <c r="G366" t="s">
        <v>1748</v>
      </c>
      <c r="H366" t="s">
        <v>2279</v>
      </c>
      <c r="I366">
        <v>4</v>
      </c>
      <c r="J366" t="s">
        <v>2279</v>
      </c>
      <c r="K366" t="s">
        <v>2279</v>
      </c>
      <c r="L366" t="s">
        <v>2279</v>
      </c>
      <c r="M366" t="s">
        <v>2279</v>
      </c>
      <c r="N366" t="s">
        <v>2279</v>
      </c>
      <c r="O366" s="190" t="str">
        <f t="shared" si="5"/>
        <v>[S06_TotalVerifiers][3][CountVerifiersInstallations]</v>
      </c>
    </row>
    <row r="367" spans="1:15" x14ac:dyDescent="0.3">
      <c r="A367" t="s">
        <v>2277</v>
      </c>
      <c r="B367" t="s">
        <v>1951</v>
      </c>
      <c r="C367" t="s">
        <v>1952</v>
      </c>
      <c r="D367">
        <v>4</v>
      </c>
      <c r="E367" t="s">
        <v>1447</v>
      </c>
      <c r="F367" t="s">
        <v>1953</v>
      </c>
      <c r="G367" t="s">
        <v>1748</v>
      </c>
      <c r="H367" t="s">
        <v>2279</v>
      </c>
      <c r="I367">
        <v>4</v>
      </c>
      <c r="J367" t="s">
        <v>2279</v>
      </c>
      <c r="K367" t="s">
        <v>2279</v>
      </c>
      <c r="L367" t="s">
        <v>2279</v>
      </c>
      <c r="M367" t="s">
        <v>2279</v>
      </c>
      <c r="N367" t="s">
        <v>2279</v>
      </c>
      <c r="O367" s="190" t="str">
        <f t="shared" si="5"/>
        <v>[S06_TotalVerifiers][4][CountVerifiersInstallations]</v>
      </c>
    </row>
    <row r="368" spans="1:15" x14ac:dyDescent="0.3">
      <c r="A368" t="s">
        <v>2277</v>
      </c>
      <c r="B368" t="s">
        <v>1951</v>
      </c>
      <c r="C368" t="s">
        <v>1952</v>
      </c>
      <c r="D368">
        <v>3</v>
      </c>
      <c r="E368" t="s">
        <v>1447</v>
      </c>
      <c r="F368" t="s">
        <v>1954</v>
      </c>
      <c r="G368" t="s">
        <v>1741</v>
      </c>
      <c r="H368" t="s">
        <v>2322</v>
      </c>
      <c r="I368" t="s">
        <v>2279</v>
      </c>
      <c r="J368" t="s">
        <v>2279</v>
      </c>
      <c r="K368" t="s">
        <v>2279</v>
      </c>
      <c r="L368" t="s">
        <v>2279</v>
      </c>
      <c r="M368" t="s">
        <v>2279</v>
      </c>
      <c r="N368" t="s">
        <v>2279</v>
      </c>
      <c r="O368" s="190" t="str">
        <f t="shared" si="5"/>
        <v>[S06_TotalVerifiers][3][MSVerifiersInstallations]</v>
      </c>
    </row>
    <row r="369" spans="1:15" x14ac:dyDescent="0.3">
      <c r="A369" t="s">
        <v>2277</v>
      </c>
      <c r="B369" t="s">
        <v>1951</v>
      </c>
      <c r="C369" t="s">
        <v>1952</v>
      </c>
      <c r="D369">
        <v>4</v>
      </c>
      <c r="E369" t="s">
        <v>1447</v>
      </c>
      <c r="F369" t="s">
        <v>1954</v>
      </c>
      <c r="G369" t="s">
        <v>1741</v>
      </c>
      <c r="H369" t="s">
        <v>2322</v>
      </c>
      <c r="I369" t="s">
        <v>2279</v>
      </c>
      <c r="J369" t="s">
        <v>2279</v>
      </c>
      <c r="K369" t="s">
        <v>2279</v>
      </c>
      <c r="L369" t="s">
        <v>2279</v>
      </c>
      <c r="M369" t="s">
        <v>2279</v>
      </c>
      <c r="N369" t="s">
        <v>2279</v>
      </c>
      <c r="O369" s="190" t="str">
        <f t="shared" si="5"/>
        <v>[S06_TotalVerifiers][4][MSVerifiersInstallations]</v>
      </c>
    </row>
    <row r="370" spans="1:15" x14ac:dyDescent="0.3">
      <c r="A370" t="s">
        <v>2277</v>
      </c>
      <c r="B370" t="s">
        <v>1951</v>
      </c>
      <c r="C370" t="s">
        <v>1952</v>
      </c>
      <c r="D370">
        <v>3</v>
      </c>
      <c r="E370" t="s">
        <v>1447</v>
      </c>
      <c r="F370" t="s">
        <v>1955</v>
      </c>
      <c r="G370" t="s">
        <v>1748</v>
      </c>
      <c r="H370" t="s">
        <v>2279</v>
      </c>
      <c r="I370">
        <v>1</v>
      </c>
      <c r="J370" t="s">
        <v>2279</v>
      </c>
      <c r="K370" t="s">
        <v>2279</v>
      </c>
      <c r="L370" t="s">
        <v>2279</v>
      </c>
      <c r="M370" t="s">
        <v>2279</v>
      </c>
      <c r="N370" t="s">
        <v>2279</v>
      </c>
      <c r="O370" s="190" t="str">
        <f t="shared" si="5"/>
        <v>[S06_TotalVerifiers][3][CountVerifiersAviation]</v>
      </c>
    </row>
    <row r="371" spans="1:15" x14ac:dyDescent="0.3">
      <c r="A371" t="s">
        <v>2277</v>
      </c>
      <c r="B371" t="s">
        <v>1951</v>
      </c>
      <c r="C371" t="s">
        <v>1952</v>
      </c>
      <c r="D371">
        <v>4</v>
      </c>
      <c r="E371" t="s">
        <v>1447</v>
      </c>
      <c r="F371" t="s">
        <v>1955</v>
      </c>
      <c r="G371" t="s">
        <v>1748</v>
      </c>
      <c r="H371" t="s">
        <v>2279</v>
      </c>
      <c r="I371">
        <v>1</v>
      </c>
      <c r="J371" t="s">
        <v>2279</v>
      </c>
      <c r="K371" t="s">
        <v>2279</v>
      </c>
      <c r="L371" t="s">
        <v>2279</v>
      </c>
      <c r="M371" t="s">
        <v>2279</v>
      </c>
      <c r="N371" t="s">
        <v>2279</v>
      </c>
      <c r="O371" s="190" t="str">
        <f t="shared" si="5"/>
        <v>[S06_TotalVerifiers][4][CountVerifiersAviation]</v>
      </c>
    </row>
    <row r="372" spans="1:15" x14ac:dyDescent="0.3">
      <c r="A372" t="s">
        <v>2277</v>
      </c>
      <c r="B372" t="s">
        <v>1951</v>
      </c>
      <c r="C372" t="s">
        <v>1952</v>
      </c>
      <c r="D372">
        <v>3</v>
      </c>
      <c r="E372" t="s">
        <v>1447</v>
      </c>
      <c r="F372" t="s">
        <v>1956</v>
      </c>
      <c r="G372" t="s">
        <v>1741</v>
      </c>
      <c r="H372" t="s">
        <v>2323</v>
      </c>
      <c r="I372" t="s">
        <v>2279</v>
      </c>
      <c r="J372" t="s">
        <v>2279</v>
      </c>
      <c r="K372" t="s">
        <v>2279</v>
      </c>
      <c r="L372" t="s">
        <v>2279</v>
      </c>
      <c r="M372" t="s">
        <v>2279</v>
      </c>
      <c r="N372" t="s">
        <v>2279</v>
      </c>
      <c r="O372" s="190" t="str">
        <f t="shared" si="5"/>
        <v>[S06_TotalVerifiers][3][MSVerifiersAviation]</v>
      </c>
    </row>
    <row r="373" spans="1:15" x14ac:dyDescent="0.3">
      <c r="A373" t="s">
        <v>2277</v>
      </c>
      <c r="B373" t="s">
        <v>1951</v>
      </c>
      <c r="C373" t="s">
        <v>1952</v>
      </c>
      <c r="D373">
        <v>4</v>
      </c>
      <c r="E373" t="s">
        <v>1447</v>
      </c>
      <c r="F373" t="s">
        <v>1956</v>
      </c>
      <c r="G373" t="s">
        <v>1741</v>
      </c>
      <c r="H373" t="s">
        <v>2323</v>
      </c>
      <c r="I373" t="s">
        <v>2279</v>
      </c>
      <c r="J373" t="s">
        <v>2279</v>
      </c>
      <c r="K373" t="s">
        <v>2279</v>
      </c>
      <c r="L373" t="s">
        <v>2279</v>
      </c>
      <c r="M373" t="s">
        <v>2279</v>
      </c>
      <c r="N373" t="s">
        <v>2279</v>
      </c>
      <c r="O373" s="190" t="str">
        <f t="shared" si="5"/>
        <v>[S06_TotalVerifiers][4][MSVerifiersAviation]</v>
      </c>
    </row>
    <row r="374" spans="1:15" x14ac:dyDescent="0.3">
      <c r="A374" t="s">
        <v>2277</v>
      </c>
      <c r="B374" t="s">
        <v>1951</v>
      </c>
      <c r="C374" t="s">
        <v>1957</v>
      </c>
      <c r="D374">
        <v>1</v>
      </c>
      <c r="E374" t="s">
        <v>1447</v>
      </c>
      <c r="F374" t="s">
        <v>1958</v>
      </c>
      <c r="G374" t="s">
        <v>1737</v>
      </c>
      <c r="H374" t="s">
        <v>2279</v>
      </c>
      <c r="I374" t="s">
        <v>2279</v>
      </c>
      <c r="J374" t="s">
        <v>2279</v>
      </c>
      <c r="K374" t="s">
        <v>2279</v>
      </c>
      <c r="L374" t="s">
        <v>1436</v>
      </c>
      <c r="M374" t="s">
        <v>2279</v>
      </c>
      <c r="N374" t="s">
        <v>2279</v>
      </c>
      <c r="O374" s="190" t="str">
        <f t="shared" si="5"/>
        <v>[S06_AccredCertVerifiersAnnexI][1][AccredCertScope]</v>
      </c>
    </row>
    <row r="375" spans="1:15" x14ac:dyDescent="0.3">
      <c r="A375" t="s">
        <v>2277</v>
      </c>
      <c r="B375" t="s">
        <v>1951</v>
      </c>
      <c r="C375" t="s">
        <v>1957</v>
      </c>
      <c r="D375">
        <v>2</v>
      </c>
      <c r="E375" t="s">
        <v>1447</v>
      </c>
      <c r="F375" t="s">
        <v>1958</v>
      </c>
      <c r="G375" t="s">
        <v>1737</v>
      </c>
      <c r="H375" t="s">
        <v>2279</v>
      </c>
      <c r="I375" t="s">
        <v>2279</v>
      </c>
      <c r="J375" t="s">
        <v>2279</v>
      </c>
      <c r="K375" t="s">
        <v>2279</v>
      </c>
      <c r="L375" t="s">
        <v>1465</v>
      </c>
      <c r="M375" t="s">
        <v>2279</v>
      </c>
      <c r="N375" t="s">
        <v>2279</v>
      </c>
      <c r="O375" s="190" t="str">
        <f t="shared" si="5"/>
        <v>[S06_AccredCertVerifiersAnnexI][2][AccredCertScope]</v>
      </c>
    </row>
    <row r="376" spans="1:15" x14ac:dyDescent="0.3">
      <c r="A376" t="s">
        <v>2277</v>
      </c>
      <c r="B376" t="s">
        <v>1951</v>
      </c>
      <c r="C376" t="s">
        <v>1957</v>
      </c>
      <c r="D376">
        <v>3</v>
      </c>
      <c r="E376" t="s">
        <v>1447</v>
      </c>
      <c r="F376" t="s">
        <v>1958</v>
      </c>
      <c r="G376" t="s">
        <v>1737</v>
      </c>
      <c r="H376" t="s">
        <v>2279</v>
      </c>
      <c r="I376" t="s">
        <v>2279</v>
      </c>
      <c r="J376" t="s">
        <v>2279</v>
      </c>
      <c r="K376" t="s">
        <v>2279</v>
      </c>
      <c r="L376" t="s">
        <v>1490</v>
      </c>
      <c r="M376" t="s">
        <v>2279</v>
      </c>
      <c r="N376" t="s">
        <v>2279</v>
      </c>
      <c r="O376" s="190" t="str">
        <f t="shared" si="5"/>
        <v>[S06_AccredCertVerifiersAnnexI][3][AccredCertScope]</v>
      </c>
    </row>
    <row r="377" spans="1:15" x14ac:dyDescent="0.3">
      <c r="A377" t="s">
        <v>2277</v>
      </c>
      <c r="B377" t="s">
        <v>1951</v>
      </c>
      <c r="C377" t="s">
        <v>1957</v>
      </c>
      <c r="D377">
        <v>4</v>
      </c>
      <c r="E377" t="s">
        <v>1447</v>
      </c>
      <c r="F377" t="s">
        <v>1958</v>
      </c>
      <c r="G377" t="s">
        <v>1737</v>
      </c>
      <c r="H377" t="s">
        <v>2279</v>
      </c>
      <c r="I377" t="s">
        <v>2279</v>
      </c>
      <c r="J377" t="s">
        <v>2279</v>
      </c>
      <c r="K377" t="s">
        <v>2279</v>
      </c>
      <c r="L377" t="s">
        <v>1510</v>
      </c>
      <c r="M377" t="s">
        <v>2279</v>
      </c>
      <c r="N377" t="s">
        <v>2279</v>
      </c>
      <c r="O377" s="190" t="str">
        <f t="shared" si="5"/>
        <v>[S06_AccredCertVerifiersAnnexI][4][AccredCertScope]</v>
      </c>
    </row>
    <row r="378" spans="1:15" x14ac:dyDescent="0.3">
      <c r="A378" t="s">
        <v>2277</v>
      </c>
      <c r="B378" t="s">
        <v>1951</v>
      </c>
      <c r="C378" t="s">
        <v>1957</v>
      </c>
      <c r="D378">
        <v>5</v>
      </c>
      <c r="E378" t="s">
        <v>1447</v>
      </c>
      <c r="F378" t="s">
        <v>1958</v>
      </c>
      <c r="G378" t="s">
        <v>1737</v>
      </c>
      <c r="H378" t="s">
        <v>2279</v>
      </c>
      <c r="I378" t="s">
        <v>2279</v>
      </c>
      <c r="J378" t="s">
        <v>2279</v>
      </c>
      <c r="K378" t="s">
        <v>2279</v>
      </c>
      <c r="L378" t="s">
        <v>1523</v>
      </c>
      <c r="M378" t="s">
        <v>2279</v>
      </c>
      <c r="N378" t="s">
        <v>2279</v>
      </c>
      <c r="O378" s="190" t="str">
        <f t="shared" si="5"/>
        <v>[S06_AccredCertVerifiersAnnexI][5][AccredCertScope]</v>
      </c>
    </row>
    <row r="379" spans="1:15" x14ac:dyDescent="0.3">
      <c r="A379" t="s">
        <v>2277</v>
      </c>
      <c r="B379" t="s">
        <v>1951</v>
      </c>
      <c r="C379" t="s">
        <v>1957</v>
      </c>
      <c r="D379">
        <v>6</v>
      </c>
      <c r="E379" t="s">
        <v>1447</v>
      </c>
      <c r="F379" t="s">
        <v>1958</v>
      </c>
      <c r="G379" t="s">
        <v>1737</v>
      </c>
      <c r="H379" t="s">
        <v>2279</v>
      </c>
      <c r="I379" t="s">
        <v>2279</v>
      </c>
      <c r="J379" t="s">
        <v>2279</v>
      </c>
      <c r="K379" t="s">
        <v>2279</v>
      </c>
      <c r="L379" t="s">
        <v>1535</v>
      </c>
      <c r="M379" t="s">
        <v>2279</v>
      </c>
      <c r="N379" t="s">
        <v>2279</v>
      </c>
      <c r="O379" s="190" t="str">
        <f t="shared" si="5"/>
        <v>[S06_AccredCertVerifiersAnnexI][6][AccredCertScope]</v>
      </c>
    </row>
    <row r="380" spans="1:15" x14ac:dyDescent="0.3">
      <c r="A380" t="s">
        <v>2277</v>
      </c>
      <c r="B380" t="s">
        <v>1951</v>
      </c>
      <c r="C380" t="s">
        <v>1957</v>
      </c>
      <c r="D380">
        <v>7</v>
      </c>
      <c r="E380" t="s">
        <v>1447</v>
      </c>
      <c r="F380" t="s">
        <v>1958</v>
      </c>
      <c r="G380" t="s">
        <v>1737</v>
      </c>
      <c r="H380" t="s">
        <v>2279</v>
      </c>
      <c r="I380" t="s">
        <v>2279</v>
      </c>
      <c r="J380" t="s">
        <v>2279</v>
      </c>
      <c r="K380" t="s">
        <v>2279</v>
      </c>
      <c r="L380" t="s">
        <v>1545</v>
      </c>
      <c r="M380" t="s">
        <v>2279</v>
      </c>
      <c r="N380" t="s">
        <v>2279</v>
      </c>
      <c r="O380" s="190" t="str">
        <f t="shared" si="5"/>
        <v>[S06_AccredCertVerifiersAnnexI][7][AccredCertScope]</v>
      </c>
    </row>
    <row r="381" spans="1:15" x14ac:dyDescent="0.3">
      <c r="A381" t="s">
        <v>2277</v>
      </c>
      <c r="B381" t="s">
        <v>1951</v>
      </c>
      <c r="C381" t="s">
        <v>1957</v>
      </c>
      <c r="D381">
        <v>8</v>
      </c>
      <c r="E381" t="s">
        <v>1447</v>
      </c>
      <c r="F381" t="s">
        <v>1958</v>
      </c>
      <c r="G381" t="s">
        <v>1737</v>
      </c>
      <c r="H381" t="s">
        <v>2279</v>
      </c>
      <c r="I381" t="s">
        <v>2279</v>
      </c>
      <c r="J381" t="s">
        <v>2279</v>
      </c>
      <c r="K381" t="s">
        <v>2279</v>
      </c>
      <c r="L381" t="s">
        <v>1553</v>
      </c>
      <c r="M381" t="s">
        <v>2279</v>
      </c>
      <c r="N381" t="s">
        <v>2279</v>
      </c>
      <c r="O381" s="190" t="str">
        <f t="shared" si="5"/>
        <v>[S06_AccredCertVerifiersAnnexI][8][AccredCertScope]</v>
      </c>
    </row>
    <row r="382" spans="1:15" x14ac:dyDescent="0.3">
      <c r="A382" t="s">
        <v>2277</v>
      </c>
      <c r="B382" t="s">
        <v>1951</v>
      </c>
      <c r="C382" t="s">
        <v>1957</v>
      </c>
      <c r="D382">
        <v>9</v>
      </c>
      <c r="E382" t="s">
        <v>1447</v>
      </c>
      <c r="F382" t="s">
        <v>1958</v>
      </c>
      <c r="G382" t="s">
        <v>1737</v>
      </c>
      <c r="H382" t="s">
        <v>2279</v>
      </c>
      <c r="I382" t="s">
        <v>2279</v>
      </c>
      <c r="J382" t="s">
        <v>2279</v>
      </c>
      <c r="K382" t="s">
        <v>2279</v>
      </c>
      <c r="L382" t="s">
        <v>1561</v>
      </c>
      <c r="M382" t="s">
        <v>2279</v>
      </c>
      <c r="N382" t="s">
        <v>2279</v>
      </c>
      <c r="O382" s="190" t="str">
        <f t="shared" si="5"/>
        <v>[S06_AccredCertVerifiersAnnexI][9][AccredCertScope]</v>
      </c>
    </row>
    <row r="383" spans="1:15" x14ac:dyDescent="0.3">
      <c r="A383" t="s">
        <v>2277</v>
      </c>
      <c r="B383" t="s">
        <v>1951</v>
      </c>
      <c r="C383" t="s">
        <v>1957</v>
      </c>
      <c r="D383">
        <v>10</v>
      </c>
      <c r="E383" t="s">
        <v>1447</v>
      </c>
      <c r="F383" t="s">
        <v>1958</v>
      </c>
      <c r="G383" t="s">
        <v>1737</v>
      </c>
      <c r="H383" t="s">
        <v>2279</v>
      </c>
      <c r="I383" t="s">
        <v>2279</v>
      </c>
      <c r="J383" t="s">
        <v>2279</v>
      </c>
      <c r="K383" t="s">
        <v>2279</v>
      </c>
      <c r="L383" t="s">
        <v>1571</v>
      </c>
      <c r="M383" t="s">
        <v>2279</v>
      </c>
      <c r="N383" t="s">
        <v>2279</v>
      </c>
      <c r="O383" s="190" t="str">
        <f t="shared" si="5"/>
        <v>[S06_AccredCertVerifiersAnnexI][10][AccredCertScope]</v>
      </c>
    </row>
    <row r="384" spans="1:15" x14ac:dyDescent="0.3">
      <c r="A384" t="s">
        <v>2277</v>
      </c>
      <c r="B384" t="s">
        <v>1951</v>
      </c>
      <c r="C384" t="s">
        <v>1957</v>
      </c>
      <c r="D384">
        <v>11</v>
      </c>
      <c r="E384" t="s">
        <v>1447</v>
      </c>
      <c r="F384" t="s">
        <v>1958</v>
      </c>
      <c r="G384" t="s">
        <v>1737</v>
      </c>
      <c r="H384" t="s">
        <v>2279</v>
      </c>
      <c r="I384" t="s">
        <v>2279</v>
      </c>
      <c r="J384" t="s">
        <v>2279</v>
      </c>
      <c r="K384" t="s">
        <v>2279</v>
      </c>
      <c r="L384" t="s">
        <v>1576</v>
      </c>
      <c r="M384" t="s">
        <v>2279</v>
      </c>
      <c r="N384" t="s">
        <v>2279</v>
      </c>
      <c r="O384" s="190" t="str">
        <f t="shared" si="5"/>
        <v>[S06_AccredCertVerifiersAnnexI][11][AccredCertScope]</v>
      </c>
    </row>
    <row r="385" spans="1:15" x14ac:dyDescent="0.3">
      <c r="A385" t="s">
        <v>2277</v>
      </c>
      <c r="B385" t="s">
        <v>1951</v>
      </c>
      <c r="C385" t="s">
        <v>1957</v>
      </c>
      <c r="D385">
        <v>12</v>
      </c>
      <c r="E385" t="s">
        <v>1447</v>
      </c>
      <c r="F385" t="s">
        <v>1958</v>
      </c>
      <c r="G385" t="s">
        <v>1737</v>
      </c>
      <c r="H385" t="s">
        <v>2279</v>
      </c>
      <c r="I385" t="s">
        <v>2279</v>
      </c>
      <c r="J385" t="s">
        <v>2279</v>
      </c>
      <c r="K385" t="s">
        <v>2279</v>
      </c>
      <c r="L385" t="s">
        <v>1580</v>
      </c>
      <c r="M385" t="s">
        <v>2279</v>
      </c>
      <c r="N385" t="s">
        <v>2279</v>
      </c>
      <c r="O385" s="190" t="str">
        <f t="shared" si="5"/>
        <v>[S06_AccredCertVerifiersAnnexI][12][AccredCertScope]</v>
      </c>
    </row>
    <row r="386" spans="1:15" x14ac:dyDescent="0.3">
      <c r="A386" t="s">
        <v>2277</v>
      </c>
      <c r="B386" t="s">
        <v>1951</v>
      </c>
      <c r="C386" t="s">
        <v>1957</v>
      </c>
      <c r="D386">
        <v>13</v>
      </c>
      <c r="E386" t="s">
        <v>1447</v>
      </c>
      <c r="F386" t="s">
        <v>1958</v>
      </c>
      <c r="G386" t="s">
        <v>1737</v>
      </c>
      <c r="H386" t="s">
        <v>2279</v>
      </c>
      <c r="I386" t="s">
        <v>2279</v>
      </c>
      <c r="J386" t="s">
        <v>2279</v>
      </c>
      <c r="K386" t="s">
        <v>2279</v>
      </c>
      <c r="L386" t="s">
        <v>1585</v>
      </c>
      <c r="M386" t="s">
        <v>2279</v>
      </c>
      <c r="N386" t="s">
        <v>2279</v>
      </c>
      <c r="O386" s="190" t="str">
        <f t="shared" ref="O386:O449" si="6">"["&amp;$C386&amp;"]["&amp;$D386&amp;"]["&amp;$F386&amp;"]"</f>
        <v>[S06_AccredCertVerifiersAnnexI][13][AccredCertScope]</v>
      </c>
    </row>
    <row r="387" spans="1:15" x14ac:dyDescent="0.3">
      <c r="A387" t="s">
        <v>2277</v>
      </c>
      <c r="B387" t="s">
        <v>1951</v>
      </c>
      <c r="C387" t="s">
        <v>1957</v>
      </c>
      <c r="D387">
        <v>14</v>
      </c>
      <c r="E387" t="s">
        <v>1447</v>
      </c>
      <c r="F387" t="s">
        <v>1958</v>
      </c>
      <c r="G387" t="s">
        <v>1737</v>
      </c>
      <c r="H387" t="s">
        <v>2279</v>
      </c>
      <c r="I387" t="s">
        <v>2279</v>
      </c>
      <c r="J387" t="s">
        <v>2279</v>
      </c>
      <c r="K387" t="s">
        <v>2279</v>
      </c>
      <c r="L387" t="s">
        <v>1590</v>
      </c>
      <c r="M387" t="s">
        <v>2279</v>
      </c>
      <c r="N387" t="s">
        <v>2279</v>
      </c>
      <c r="O387" s="190" t="str">
        <f t="shared" si="6"/>
        <v>[S06_AccredCertVerifiersAnnexI][14][AccredCertScope]</v>
      </c>
    </row>
    <row r="388" spans="1:15" x14ac:dyDescent="0.3">
      <c r="A388" t="s">
        <v>2277</v>
      </c>
      <c r="B388" t="s">
        <v>1951</v>
      </c>
      <c r="C388" t="s">
        <v>1957</v>
      </c>
      <c r="D388">
        <v>15</v>
      </c>
      <c r="E388" t="s">
        <v>1447</v>
      </c>
      <c r="F388" t="s">
        <v>1958</v>
      </c>
      <c r="G388" t="s">
        <v>1737</v>
      </c>
      <c r="H388" t="s">
        <v>2279</v>
      </c>
      <c r="I388" t="s">
        <v>2279</v>
      </c>
      <c r="J388" t="s">
        <v>2279</v>
      </c>
      <c r="K388" t="s">
        <v>2279</v>
      </c>
      <c r="L388" t="s">
        <v>1595</v>
      </c>
      <c r="M388" t="s">
        <v>2279</v>
      </c>
      <c r="N388" t="s">
        <v>2279</v>
      </c>
      <c r="O388" s="190" t="str">
        <f t="shared" si="6"/>
        <v>[S06_AccredCertVerifiersAnnexI][15][AccredCertScope]</v>
      </c>
    </row>
    <row r="389" spans="1:15" x14ac:dyDescent="0.3">
      <c r="A389" t="s">
        <v>2277</v>
      </c>
      <c r="B389" t="s">
        <v>1951</v>
      </c>
      <c r="C389" t="s">
        <v>1957</v>
      </c>
      <c r="D389">
        <v>16</v>
      </c>
      <c r="E389" t="s">
        <v>1447</v>
      </c>
      <c r="F389" t="s">
        <v>1958</v>
      </c>
      <c r="G389" t="s">
        <v>1737</v>
      </c>
      <c r="H389" t="s">
        <v>2279</v>
      </c>
      <c r="I389" t="s">
        <v>2279</v>
      </c>
      <c r="J389" t="s">
        <v>2279</v>
      </c>
      <c r="K389" t="s">
        <v>2279</v>
      </c>
      <c r="L389" t="s">
        <v>1600</v>
      </c>
      <c r="M389" t="s">
        <v>2279</v>
      </c>
      <c r="N389" t="s">
        <v>2279</v>
      </c>
      <c r="O389" s="190" t="str">
        <f t="shared" si="6"/>
        <v>[S06_AccredCertVerifiersAnnexI][16][AccredCertScope]</v>
      </c>
    </row>
    <row r="390" spans="1:15" x14ac:dyDescent="0.3">
      <c r="A390" t="s">
        <v>2277</v>
      </c>
      <c r="B390" t="s">
        <v>1951</v>
      </c>
      <c r="C390" t="s">
        <v>1957</v>
      </c>
      <c r="D390">
        <v>17</v>
      </c>
      <c r="E390" t="s">
        <v>1447</v>
      </c>
      <c r="F390" t="s">
        <v>1958</v>
      </c>
      <c r="G390" t="s">
        <v>1737</v>
      </c>
      <c r="H390" t="s">
        <v>2279</v>
      </c>
      <c r="I390" t="s">
        <v>2279</v>
      </c>
      <c r="J390" t="s">
        <v>2279</v>
      </c>
      <c r="K390" t="s">
        <v>2279</v>
      </c>
      <c r="L390" t="s">
        <v>1605</v>
      </c>
      <c r="M390" t="s">
        <v>2279</v>
      </c>
      <c r="N390" t="s">
        <v>2279</v>
      </c>
      <c r="O390" s="190" t="str">
        <f t="shared" si="6"/>
        <v>[S06_AccredCertVerifiersAnnexI][17][AccredCertScope]</v>
      </c>
    </row>
    <row r="391" spans="1:15" x14ac:dyDescent="0.3">
      <c r="A391" t="s">
        <v>2277</v>
      </c>
      <c r="B391" t="s">
        <v>1951</v>
      </c>
      <c r="C391" t="s">
        <v>1957</v>
      </c>
      <c r="D391">
        <v>18</v>
      </c>
      <c r="E391" t="s">
        <v>1447</v>
      </c>
      <c r="F391" t="s">
        <v>1958</v>
      </c>
      <c r="G391" t="s">
        <v>1737</v>
      </c>
      <c r="H391" t="s">
        <v>2279</v>
      </c>
      <c r="I391" t="s">
        <v>2279</v>
      </c>
      <c r="J391" t="s">
        <v>2279</v>
      </c>
      <c r="K391" t="s">
        <v>2279</v>
      </c>
      <c r="L391" t="s">
        <v>1610</v>
      </c>
      <c r="M391" t="s">
        <v>2279</v>
      </c>
      <c r="N391" t="s">
        <v>2279</v>
      </c>
      <c r="O391" s="190" t="str">
        <f t="shared" si="6"/>
        <v>[S06_AccredCertVerifiersAnnexI][18][AccredCertScope]</v>
      </c>
    </row>
    <row r="392" spans="1:15" x14ac:dyDescent="0.3">
      <c r="A392" t="s">
        <v>2277</v>
      </c>
      <c r="B392" t="s">
        <v>1951</v>
      </c>
      <c r="C392" t="s">
        <v>1957</v>
      </c>
      <c r="D392">
        <v>19</v>
      </c>
      <c r="E392" t="s">
        <v>1447</v>
      </c>
      <c r="F392" t="s">
        <v>1958</v>
      </c>
      <c r="G392" t="s">
        <v>1737</v>
      </c>
      <c r="H392" t="s">
        <v>2279</v>
      </c>
      <c r="I392" t="s">
        <v>2279</v>
      </c>
      <c r="J392" t="s">
        <v>2279</v>
      </c>
      <c r="K392" t="s">
        <v>2279</v>
      </c>
      <c r="L392" t="s">
        <v>1615</v>
      </c>
      <c r="M392" t="s">
        <v>2279</v>
      </c>
      <c r="N392" t="s">
        <v>2279</v>
      </c>
      <c r="O392" s="190" t="str">
        <f t="shared" si="6"/>
        <v>[S06_AccredCertVerifiersAnnexI][19][AccredCertScope]</v>
      </c>
    </row>
    <row r="393" spans="1:15" x14ac:dyDescent="0.3">
      <c r="A393" t="s">
        <v>2277</v>
      </c>
      <c r="B393" t="s">
        <v>1951</v>
      </c>
      <c r="C393" t="s">
        <v>1957</v>
      </c>
      <c r="D393">
        <v>20</v>
      </c>
      <c r="E393" t="s">
        <v>1447</v>
      </c>
      <c r="F393" t="s">
        <v>1958</v>
      </c>
      <c r="G393" t="s">
        <v>1737</v>
      </c>
      <c r="H393" t="s">
        <v>2279</v>
      </c>
      <c r="I393" t="s">
        <v>2279</v>
      </c>
      <c r="J393" t="s">
        <v>2279</v>
      </c>
      <c r="K393" t="s">
        <v>2279</v>
      </c>
      <c r="L393" t="s">
        <v>1620</v>
      </c>
      <c r="M393" t="s">
        <v>2279</v>
      </c>
      <c r="N393" t="s">
        <v>2279</v>
      </c>
      <c r="O393" s="190" t="str">
        <f t="shared" si="6"/>
        <v>[S06_AccredCertVerifiersAnnexI][20][AccredCertScope]</v>
      </c>
    </row>
    <row r="394" spans="1:15" x14ac:dyDescent="0.3">
      <c r="A394" t="s">
        <v>2277</v>
      </c>
      <c r="B394" t="s">
        <v>1951</v>
      </c>
      <c r="C394" t="s">
        <v>1957</v>
      </c>
      <c r="D394">
        <v>21</v>
      </c>
      <c r="E394" t="s">
        <v>1447</v>
      </c>
      <c r="F394" t="s">
        <v>1958</v>
      </c>
      <c r="G394" t="s">
        <v>1737</v>
      </c>
      <c r="H394" t="s">
        <v>2279</v>
      </c>
      <c r="I394" t="s">
        <v>2279</v>
      </c>
      <c r="J394" t="s">
        <v>2279</v>
      </c>
      <c r="K394" t="s">
        <v>2279</v>
      </c>
      <c r="L394" t="s">
        <v>1625</v>
      </c>
      <c r="M394" t="s">
        <v>2279</v>
      </c>
      <c r="N394" t="s">
        <v>2279</v>
      </c>
      <c r="O394" s="190" t="str">
        <f t="shared" si="6"/>
        <v>[S06_AccredCertVerifiersAnnexI][21][AccredCertScope]</v>
      </c>
    </row>
    <row r="395" spans="1:15" x14ac:dyDescent="0.3">
      <c r="A395" t="s">
        <v>2277</v>
      </c>
      <c r="B395" t="s">
        <v>1951</v>
      </c>
      <c r="C395" t="s">
        <v>1957</v>
      </c>
      <c r="D395">
        <v>22</v>
      </c>
      <c r="E395" t="s">
        <v>1447</v>
      </c>
      <c r="F395" t="s">
        <v>1958</v>
      </c>
      <c r="G395" t="s">
        <v>1737</v>
      </c>
      <c r="H395" t="s">
        <v>2279</v>
      </c>
      <c r="I395" t="s">
        <v>2279</v>
      </c>
      <c r="J395" t="s">
        <v>2279</v>
      </c>
      <c r="K395" t="s">
        <v>2279</v>
      </c>
      <c r="L395" t="s">
        <v>1629</v>
      </c>
      <c r="M395" t="s">
        <v>2279</v>
      </c>
      <c r="N395" t="s">
        <v>2279</v>
      </c>
      <c r="O395" s="190" t="str">
        <f t="shared" si="6"/>
        <v>[S06_AccredCertVerifiersAnnexI][22][AccredCertScope]</v>
      </c>
    </row>
    <row r="396" spans="1:15" x14ac:dyDescent="0.3">
      <c r="A396" t="s">
        <v>2277</v>
      </c>
      <c r="B396" t="s">
        <v>1951</v>
      </c>
      <c r="C396" t="s">
        <v>1957</v>
      </c>
      <c r="D396">
        <v>23</v>
      </c>
      <c r="E396" t="s">
        <v>1447</v>
      </c>
      <c r="F396" t="s">
        <v>1958</v>
      </c>
      <c r="G396" t="s">
        <v>1737</v>
      </c>
      <c r="H396" t="s">
        <v>2279</v>
      </c>
      <c r="I396" t="s">
        <v>2279</v>
      </c>
      <c r="J396" t="s">
        <v>2279</v>
      </c>
      <c r="K396" t="s">
        <v>2279</v>
      </c>
      <c r="L396" t="s">
        <v>1634</v>
      </c>
      <c r="M396" t="s">
        <v>2279</v>
      </c>
      <c r="N396" t="s">
        <v>2279</v>
      </c>
      <c r="O396" s="190" t="str">
        <f t="shared" si="6"/>
        <v>[S06_AccredCertVerifiersAnnexI][23][AccredCertScope]</v>
      </c>
    </row>
    <row r="397" spans="1:15" x14ac:dyDescent="0.3">
      <c r="A397" t="s">
        <v>2277</v>
      </c>
      <c r="B397" t="s">
        <v>1951</v>
      </c>
      <c r="C397" t="s">
        <v>1957</v>
      </c>
      <c r="D397">
        <v>24</v>
      </c>
      <c r="E397" t="s">
        <v>1447</v>
      </c>
      <c r="F397" t="s">
        <v>1958</v>
      </c>
      <c r="G397" t="s">
        <v>1737</v>
      </c>
      <c r="H397" t="s">
        <v>2279</v>
      </c>
      <c r="I397" t="s">
        <v>2279</v>
      </c>
      <c r="J397" t="s">
        <v>2279</v>
      </c>
      <c r="K397" t="s">
        <v>2279</v>
      </c>
      <c r="L397" t="s">
        <v>1666</v>
      </c>
      <c r="M397" t="s">
        <v>2279</v>
      </c>
      <c r="N397" t="s">
        <v>2279</v>
      </c>
      <c r="O397" s="190" t="str">
        <f t="shared" si="6"/>
        <v>[S06_AccredCertVerifiersAnnexI][24][AccredCertScope]</v>
      </c>
    </row>
    <row r="398" spans="1:15" x14ac:dyDescent="0.3">
      <c r="A398" t="s">
        <v>2277</v>
      </c>
      <c r="B398" t="s">
        <v>1951</v>
      </c>
      <c r="C398" t="s">
        <v>1957</v>
      </c>
      <c r="D398">
        <v>1</v>
      </c>
      <c r="E398" t="s">
        <v>1447</v>
      </c>
      <c r="F398" t="s">
        <v>1959</v>
      </c>
      <c r="G398" t="s">
        <v>1748</v>
      </c>
      <c r="H398" t="s">
        <v>2279</v>
      </c>
      <c r="I398">
        <v>3</v>
      </c>
      <c r="J398" t="s">
        <v>2279</v>
      </c>
      <c r="K398" t="s">
        <v>2279</v>
      </c>
      <c r="L398" t="s">
        <v>2279</v>
      </c>
      <c r="M398" t="s">
        <v>2279</v>
      </c>
      <c r="N398" t="s">
        <v>2279</v>
      </c>
      <c r="O398" s="190" t="str">
        <f t="shared" si="6"/>
        <v>[S06_AccredCertVerifiersAnnexI][1][NumberAccredited]</v>
      </c>
    </row>
    <row r="399" spans="1:15" x14ac:dyDescent="0.3">
      <c r="A399" t="s">
        <v>2277</v>
      </c>
      <c r="B399" t="s">
        <v>1951</v>
      </c>
      <c r="C399" t="s">
        <v>1957</v>
      </c>
      <c r="D399">
        <v>2</v>
      </c>
      <c r="E399" t="s">
        <v>1447</v>
      </c>
      <c r="F399" t="s">
        <v>1959</v>
      </c>
      <c r="G399" t="s">
        <v>1748</v>
      </c>
      <c r="H399" t="s">
        <v>2279</v>
      </c>
      <c r="I399">
        <v>3</v>
      </c>
      <c r="J399" t="s">
        <v>2279</v>
      </c>
      <c r="K399" t="s">
        <v>2279</v>
      </c>
      <c r="L399" t="s">
        <v>2279</v>
      </c>
      <c r="M399" t="s">
        <v>2279</v>
      </c>
      <c r="N399" t="s">
        <v>2279</v>
      </c>
      <c r="O399" s="190" t="str">
        <f t="shared" si="6"/>
        <v>[S06_AccredCertVerifiersAnnexI][2][NumberAccredited]</v>
      </c>
    </row>
    <row r="400" spans="1:15" x14ac:dyDescent="0.3">
      <c r="A400" t="s">
        <v>2277</v>
      </c>
      <c r="B400" t="s">
        <v>1951</v>
      </c>
      <c r="C400" t="s">
        <v>1957</v>
      </c>
      <c r="D400">
        <v>3</v>
      </c>
      <c r="E400" t="s">
        <v>1447</v>
      </c>
      <c r="F400" t="s">
        <v>1959</v>
      </c>
      <c r="G400" t="s">
        <v>1748</v>
      </c>
      <c r="H400" t="s">
        <v>2279</v>
      </c>
      <c r="I400">
        <v>3</v>
      </c>
      <c r="J400" t="s">
        <v>2279</v>
      </c>
      <c r="K400" t="s">
        <v>2279</v>
      </c>
      <c r="L400" t="s">
        <v>2279</v>
      </c>
      <c r="M400" t="s">
        <v>2279</v>
      </c>
      <c r="N400" t="s">
        <v>2279</v>
      </c>
      <c r="O400" s="190" t="str">
        <f t="shared" si="6"/>
        <v>[S06_AccredCertVerifiersAnnexI][3][NumberAccredited]</v>
      </c>
    </row>
    <row r="401" spans="1:15" x14ac:dyDescent="0.3">
      <c r="A401" t="s">
        <v>2277</v>
      </c>
      <c r="B401" t="s">
        <v>1951</v>
      </c>
      <c r="C401" t="s">
        <v>1957</v>
      </c>
      <c r="D401">
        <v>4</v>
      </c>
      <c r="E401" t="s">
        <v>1447</v>
      </c>
      <c r="F401" t="s">
        <v>1959</v>
      </c>
      <c r="G401" t="s">
        <v>1748</v>
      </c>
      <c r="H401" t="s">
        <v>2279</v>
      </c>
      <c r="I401">
        <v>3</v>
      </c>
      <c r="J401" t="s">
        <v>2279</v>
      </c>
      <c r="K401" t="s">
        <v>2279</v>
      </c>
      <c r="L401" t="s">
        <v>2279</v>
      </c>
      <c r="M401" t="s">
        <v>2279</v>
      </c>
      <c r="N401" t="s">
        <v>2279</v>
      </c>
      <c r="O401" s="190" t="str">
        <f t="shared" si="6"/>
        <v>[S06_AccredCertVerifiersAnnexI][4][NumberAccredited]</v>
      </c>
    </row>
    <row r="402" spans="1:15" x14ac:dyDescent="0.3">
      <c r="A402" t="s">
        <v>2277</v>
      </c>
      <c r="B402" t="s">
        <v>1951</v>
      </c>
      <c r="C402" t="s">
        <v>1957</v>
      </c>
      <c r="D402">
        <v>5</v>
      </c>
      <c r="E402" t="s">
        <v>1447</v>
      </c>
      <c r="F402" t="s">
        <v>1959</v>
      </c>
      <c r="G402" t="s">
        <v>1748</v>
      </c>
      <c r="H402" t="s">
        <v>2279</v>
      </c>
      <c r="I402">
        <v>3</v>
      </c>
      <c r="J402" t="s">
        <v>2279</v>
      </c>
      <c r="K402" t="s">
        <v>2279</v>
      </c>
      <c r="L402" t="s">
        <v>2279</v>
      </c>
      <c r="M402" t="s">
        <v>2279</v>
      </c>
      <c r="N402" t="s">
        <v>2279</v>
      </c>
      <c r="O402" s="190" t="str">
        <f t="shared" si="6"/>
        <v>[S06_AccredCertVerifiersAnnexI][5][NumberAccredited]</v>
      </c>
    </row>
    <row r="403" spans="1:15" x14ac:dyDescent="0.3">
      <c r="A403" t="s">
        <v>2277</v>
      </c>
      <c r="B403" t="s">
        <v>1951</v>
      </c>
      <c r="C403" t="s">
        <v>1957</v>
      </c>
      <c r="D403">
        <v>6</v>
      </c>
      <c r="E403" t="s">
        <v>1447</v>
      </c>
      <c r="F403" t="s">
        <v>1959</v>
      </c>
      <c r="G403" t="s">
        <v>1748</v>
      </c>
      <c r="H403" t="s">
        <v>2279</v>
      </c>
      <c r="I403">
        <v>3</v>
      </c>
      <c r="J403" t="s">
        <v>2279</v>
      </c>
      <c r="K403" t="s">
        <v>2279</v>
      </c>
      <c r="L403" t="s">
        <v>2279</v>
      </c>
      <c r="M403" t="s">
        <v>2279</v>
      </c>
      <c r="N403" t="s">
        <v>2279</v>
      </c>
      <c r="O403" s="190" t="str">
        <f t="shared" si="6"/>
        <v>[S06_AccredCertVerifiersAnnexI][6][NumberAccredited]</v>
      </c>
    </row>
    <row r="404" spans="1:15" x14ac:dyDescent="0.3">
      <c r="A404" t="s">
        <v>2277</v>
      </c>
      <c r="B404" t="s">
        <v>1951</v>
      </c>
      <c r="C404" t="s">
        <v>1957</v>
      </c>
      <c r="D404">
        <v>7</v>
      </c>
      <c r="E404" t="s">
        <v>1447</v>
      </c>
      <c r="F404" t="s">
        <v>1959</v>
      </c>
      <c r="G404" t="s">
        <v>1748</v>
      </c>
      <c r="H404" t="s">
        <v>2279</v>
      </c>
      <c r="I404">
        <v>2</v>
      </c>
      <c r="J404" t="s">
        <v>2279</v>
      </c>
      <c r="K404" t="s">
        <v>2279</v>
      </c>
      <c r="L404" t="s">
        <v>2279</v>
      </c>
      <c r="M404" t="s">
        <v>2279</v>
      </c>
      <c r="N404" t="s">
        <v>2279</v>
      </c>
      <c r="O404" s="190" t="str">
        <f t="shared" si="6"/>
        <v>[S06_AccredCertVerifiersAnnexI][7][NumberAccredited]</v>
      </c>
    </row>
    <row r="405" spans="1:15" x14ac:dyDescent="0.3">
      <c r="A405" t="s">
        <v>2277</v>
      </c>
      <c r="B405" t="s">
        <v>1951</v>
      </c>
      <c r="C405" t="s">
        <v>1957</v>
      </c>
      <c r="D405">
        <v>8</v>
      </c>
      <c r="E405" t="s">
        <v>1447</v>
      </c>
      <c r="F405" t="s">
        <v>1959</v>
      </c>
      <c r="G405" t="s">
        <v>1748</v>
      </c>
      <c r="H405" t="s">
        <v>2279</v>
      </c>
      <c r="I405">
        <v>1</v>
      </c>
      <c r="J405" t="s">
        <v>2279</v>
      </c>
      <c r="K405" t="s">
        <v>2279</v>
      </c>
      <c r="L405" t="s">
        <v>2279</v>
      </c>
      <c r="M405" t="s">
        <v>2279</v>
      </c>
      <c r="N405" t="s">
        <v>2279</v>
      </c>
      <c r="O405" s="190" t="str">
        <f t="shared" si="6"/>
        <v>[S06_AccredCertVerifiersAnnexI][8][NumberAccredited]</v>
      </c>
    </row>
    <row r="406" spans="1:15" x14ac:dyDescent="0.3">
      <c r="A406" t="s">
        <v>2277</v>
      </c>
      <c r="B406" t="s">
        <v>1951</v>
      </c>
      <c r="C406" t="s">
        <v>1957</v>
      </c>
      <c r="D406">
        <v>9</v>
      </c>
      <c r="E406" t="s">
        <v>1447</v>
      </c>
      <c r="F406" t="s">
        <v>1959</v>
      </c>
      <c r="G406" t="s">
        <v>1748</v>
      </c>
      <c r="H406" t="s">
        <v>2279</v>
      </c>
      <c r="I406">
        <v>2</v>
      </c>
      <c r="J406" t="s">
        <v>2279</v>
      </c>
      <c r="K406" t="s">
        <v>2279</v>
      </c>
      <c r="L406" t="s">
        <v>2279</v>
      </c>
      <c r="M406" t="s">
        <v>2279</v>
      </c>
      <c r="N406" t="s">
        <v>2279</v>
      </c>
      <c r="O406" s="190" t="str">
        <f t="shared" si="6"/>
        <v>[S06_AccredCertVerifiersAnnexI][9][NumberAccredited]</v>
      </c>
    </row>
    <row r="407" spans="1:15" x14ac:dyDescent="0.3">
      <c r="A407" t="s">
        <v>2277</v>
      </c>
      <c r="B407" t="s">
        <v>1951</v>
      </c>
      <c r="C407" t="s">
        <v>1957</v>
      </c>
      <c r="D407">
        <v>10</v>
      </c>
      <c r="E407" t="s">
        <v>1447</v>
      </c>
      <c r="F407" t="s">
        <v>1959</v>
      </c>
      <c r="G407" t="s">
        <v>1748</v>
      </c>
      <c r="H407" t="s">
        <v>2279</v>
      </c>
      <c r="I407">
        <v>3</v>
      </c>
      <c r="J407" t="s">
        <v>2279</v>
      </c>
      <c r="K407" t="s">
        <v>2279</v>
      </c>
      <c r="L407" t="s">
        <v>2279</v>
      </c>
      <c r="M407" t="s">
        <v>2279</v>
      </c>
      <c r="N407" t="s">
        <v>2279</v>
      </c>
      <c r="O407" s="190" t="str">
        <f t="shared" si="6"/>
        <v>[S06_AccredCertVerifiersAnnexI][10][NumberAccredited]</v>
      </c>
    </row>
    <row r="408" spans="1:15" x14ac:dyDescent="0.3">
      <c r="A408" t="s">
        <v>2277</v>
      </c>
      <c r="B408" t="s">
        <v>1951</v>
      </c>
      <c r="C408" t="s">
        <v>1957</v>
      </c>
      <c r="D408">
        <v>11</v>
      </c>
      <c r="E408" t="s">
        <v>1447</v>
      </c>
      <c r="F408" t="s">
        <v>1959</v>
      </c>
      <c r="G408" t="s">
        <v>1748</v>
      </c>
      <c r="H408" t="s">
        <v>2279</v>
      </c>
      <c r="I408">
        <v>3</v>
      </c>
      <c r="J408" t="s">
        <v>2279</v>
      </c>
      <c r="K408" t="s">
        <v>2279</v>
      </c>
      <c r="L408" t="s">
        <v>2279</v>
      </c>
      <c r="M408" t="s">
        <v>2279</v>
      </c>
      <c r="N408" t="s">
        <v>2279</v>
      </c>
      <c r="O408" s="190" t="str">
        <f t="shared" si="6"/>
        <v>[S06_AccredCertVerifiersAnnexI][11][NumberAccredited]</v>
      </c>
    </row>
    <row r="409" spans="1:15" x14ac:dyDescent="0.3">
      <c r="A409" t="s">
        <v>2277</v>
      </c>
      <c r="B409" t="s">
        <v>1951</v>
      </c>
      <c r="C409" t="s">
        <v>1957</v>
      </c>
      <c r="D409">
        <v>12</v>
      </c>
      <c r="E409" t="s">
        <v>1447</v>
      </c>
      <c r="F409" t="s">
        <v>1959</v>
      </c>
      <c r="G409" t="s">
        <v>1748</v>
      </c>
      <c r="H409" t="s">
        <v>2279</v>
      </c>
      <c r="I409">
        <v>3</v>
      </c>
      <c r="J409" t="s">
        <v>2279</v>
      </c>
      <c r="K409" t="s">
        <v>2279</v>
      </c>
      <c r="L409" t="s">
        <v>2279</v>
      </c>
      <c r="M409" t="s">
        <v>2279</v>
      </c>
      <c r="N409" t="s">
        <v>2279</v>
      </c>
      <c r="O409" s="190" t="str">
        <f t="shared" si="6"/>
        <v>[S06_AccredCertVerifiersAnnexI][12][NumberAccredited]</v>
      </c>
    </row>
    <row r="410" spans="1:15" x14ac:dyDescent="0.3">
      <c r="A410" t="s">
        <v>2277</v>
      </c>
      <c r="B410" t="s">
        <v>1951</v>
      </c>
      <c r="C410" t="s">
        <v>1957</v>
      </c>
      <c r="D410">
        <v>13</v>
      </c>
      <c r="E410" t="s">
        <v>1447</v>
      </c>
      <c r="F410" t="s">
        <v>1959</v>
      </c>
      <c r="G410" t="s">
        <v>1748</v>
      </c>
      <c r="H410" t="s">
        <v>2279</v>
      </c>
      <c r="I410">
        <v>3</v>
      </c>
      <c r="J410" t="s">
        <v>2279</v>
      </c>
      <c r="K410" t="s">
        <v>2279</v>
      </c>
      <c r="L410" t="s">
        <v>2279</v>
      </c>
      <c r="M410" t="s">
        <v>2279</v>
      </c>
      <c r="N410" t="s">
        <v>2279</v>
      </c>
      <c r="O410" s="190" t="str">
        <f t="shared" si="6"/>
        <v>[S06_AccredCertVerifiersAnnexI][13][NumberAccredited]</v>
      </c>
    </row>
    <row r="411" spans="1:15" x14ac:dyDescent="0.3">
      <c r="A411" t="s">
        <v>2277</v>
      </c>
      <c r="B411" t="s">
        <v>1951</v>
      </c>
      <c r="C411" t="s">
        <v>1957</v>
      </c>
      <c r="D411">
        <v>14</v>
      </c>
      <c r="E411" t="s">
        <v>1447</v>
      </c>
      <c r="F411" t="s">
        <v>1959</v>
      </c>
      <c r="G411" t="s">
        <v>1748</v>
      </c>
      <c r="H411" t="s">
        <v>2279</v>
      </c>
      <c r="I411">
        <v>3</v>
      </c>
      <c r="J411" t="s">
        <v>2279</v>
      </c>
      <c r="K411" t="s">
        <v>2279</v>
      </c>
      <c r="L411" t="s">
        <v>2279</v>
      </c>
      <c r="M411" t="s">
        <v>2279</v>
      </c>
      <c r="N411" t="s">
        <v>2279</v>
      </c>
      <c r="O411" s="190" t="str">
        <f t="shared" si="6"/>
        <v>[S06_AccredCertVerifiersAnnexI][14][NumberAccredited]</v>
      </c>
    </row>
    <row r="412" spans="1:15" x14ac:dyDescent="0.3">
      <c r="A412" t="s">
        <v>2277</v>
      </c>
      <c r="B412" t="s">
        <v>1951</v>
      </c>
      <c r="C412" t="s">
        <v>1957</v>
      </c>
      <c r="D412">
        <v>15</v>
      </c>
      <c r="E412" t="s">
        <v>1447</v>
      </c>
      <c r="F412" t="s">
        <v>1959</v>
      </c>
      <c r="G412" t="s">
        <v>1748</v>
      </c>
      <c r="H412" t="s">
        <v>2279</v>
      </c>
      <c r="I412">
        <v>3</v>
      </c>
      <c r="J412" t="s">
        <v>2279</v>
      </c>
      <c r="K412" t="s">
        <v>2279</v>
      </c>
      <c r="L412" t="s">
        <v>2279</v>
      </c>
      <c r="M412" t="s">
        <v>2279</v>
      </c>
      <c r="N412" t="s">
        <v>2279</v>
      </c>
      <c r="O412" s="190" t="str">
        <f t="shared" si="6"/>
        <v>[S06_AccredCertVerifiersAnnexI][15][NumberAccredited]</v>
      </c>
    </row>
    <row r="413" spans="1:15" x14ac:dyDescent="0.3">
      <c r="A413" t="s">
        <v>2277</v>
      </c>
      <c r="B413" t="s">
        <v>1951</v>
      </c>
      <c r="C413" t="s">
        <v>1957</v>
      </c>
      <c r="D413">
        <v>16</v>
      </c>
      <c r="E413" t="s">
        <v>1447</v>
      </c>
      <c r="F413" t="s">
        <v>1959</v>
      </c>
      <c r="G413" t="s">
        <v>1748</v>
      </c>
      <c r="H413" t="s">
        <v>2279</v>
      </c>
      <c r="I413">
        <v>2</v>
      </c>
      <c r="J413" t="s">
        <v>2279</v>
      </c>
      <c r="K413" t="s">
        <v>2279</v>
      </c>
      <c r="L413" t="s">
        <v>2279</v>
      </c>
      <c r="M413" t="s">
        <v>2279</v>
      </c>
      <c r="N413" t="s">
        <v>2279</v>
      </c>
      <c r="O413" s="190" t="str">
        <f t="shared" si="6"/>
        <v>[S06_AccredCertVerifiersAnnexI][16][NumberAccredited]</v>
      </c>
    </row>
    <row r="414" spans="1:15" x14ac:dyDescent="0.3">
      <c r="A414" t="s">
        <v>2277</v>
      </c>
      <c r="B414" t="s">
        <v>1951</v>
      </c>
      <c r="C414" t="s">
        <v>1957</v>
      </c>
      <c r="D414">
        <v>17</v>
      </c>
      <c r="E414" t="s">
        <v>1447</v>
      </c>
      <c r="F414" t="s">
        <v>1959</v>
      </c>
      <c r="G414" t="s">
        <v>1748</v>
      </c>
      <c r="H414" t="s">
        <v>2279</v>
      </c>
      <c r="I414">
        <v>2</v>
      </c>
      <c r="J414" t="s">
        <v>2279</v>
      </c>
      <c r="K414" t="s">
        <v>2279</v>
      </c>
      <c r="L414" t="s">
        <v>2279</v>
      </c>
      <c r="M414" t="s">
        <v>2279</v>
      </c>
      <c r="N414" t="s">
        <v>2279</v>
      </c>
      <c r="O414" s="190" t="str">
        <f t="shared" si="6"/>
        <v>[S06_AccredCertVerifiersAnnexI][17][NumberAccredited]</v>
      </c>
    </row>
    <row r="415" spans="1:15" x14ac:dyDescent="0.3">
      <c r="A415" t="s">
        <v>2277</v>
      </c>
      <c r="B415" t="s">
        <v>1951</v>
      </c>
      <c r="C415" t="s">
        <v>1957</v>
      </c>
      <c r="D415">
        <v>18</v>
      </c>
      <c r="E415" t="s">
        <v>1447</v>
      </c>
      <c r="F415" t="s">
        <v>1959</v>
      </c>
      <c r="G415" t="s">
        <v>1748</v>
      </c>
      <c r="H415" t="s">
        <v>2279</v>
      </c>
      <c r="I415">
        <v>2</v>
      </c>
      <c r="J415" t="s">
        <v>2279</v>
      </c>
      <c r="K415" t="s">
        <v>2279</v>
      </c>
      <c r="L415" t="s">
        <v>2279</v>
      </c>
      <c r="M415" t="s">
        <v>2279</v>
      </c>
      <c r="N415" t="s">
        <v>2279</v>
      </c>
      <c r="O415" s="190" t="str">
        <f t="shared" si="6"/>
        <v>[S06_AccredCertVerifiersAnnexI][18][NumberAccredited]</v>
      </c>
    </row>
    <row r="416" spans="1:15" x14ac:dyDescent="0.3">
      <c r="A416" t="s">
        <v>2277</v>
      </c>
      <c r="B416" t="s">
        <v>1951</v>
      </c>
      <c r="C416" t="s">
        <v>1957</v>
      </c>
      <c r="D416">
        <v>19</v>
      </c>
      <c r="E416" t="s">
        <v>1447</v>
      </c>
      <c r="F416" t="s">
        <v>1959</v>
      </c>
      <c r="G416" t="s">
        <v>1748</v>
      </c>
      <c r="H416" t="s">
        <v>2279</v>
      </c>
      <c r="I416">
        <v>2</v>
      </c>
      <c r="J416" t="s">
        <v>2279</v>
      </c>
      <c r="K416" t="s">
        <v>2279</v>
      </c>
      <c r="L416" t="s">
        <v>2279</v>
      </c>
      <c r="M416" t="s">
        <v>2279</v>
      </c>
      <c r="N416" t="s">
        <v>2279</v>
      </c>
      <c r="O416" s="190" t="str">
        <f t="shared" si="6"/>
        <v>[S06_AccredCertVerifiersAnnexI][19][NumberAccredited]</v>
      </c>
    </row>
    <row r="417" spans="1:15" x14ac:dyDescent="0.3">
      <c r="A417" t="s">
        <v>2277</v>
      </c>
      <c r="B417" t="s">
        <v>1951</v>
      </c>
      <c r="C417" t="s">
        <v>1957</v>
      </c>
      <c r="D417">
        <v>20</v>
      </c>
      <c r="E417" t="s">
        <v>1447</v>
      </c>
      <c r="F417" t="s">
        <v>1959</v>
      </c>
      <c r="G417" t="s">
        <v>1748</v>
      </c>
      <c r="H417" t="s">
        <v>2279</v>
      </c>
      <c r="I417">
        <v>2</v>
      </c>
      <c r="J417" t="s">
        <v>2279</v>
      </c>
      <c r="K417" t="s">
        <v>2279</v>
      </c>
      <c r="L417" t="s">
        <v>2279</v>
      </c>
      <c r="M417" t="s">
        <v>2279</v>
      </c>
      <c r="N417" t="s">
        <v>2279</v>
      </c>
      <c r="O417" s="190" t="str">
        <f t="shared" si="6"/>
        <v>[S06_AccredCertVerifiersAnnexI][20][NumberAccredited]</v>
      </c>
    </row>
    <row r="418" spans="1:15" x14ac:dyDescent="0.3">
      <c r="A418" t="s">
        <v>2277</v>
      </c>
      <c r="B418" t="s">
        <v>1951</v>
      </c>
      <c r="C418" t="s">
        <v>1957</v>
      </c>
      <c r="D418">
        <v>21</v>
      </c>
      <c r="E418" t="s">
        <v>1447</v>
      </c>
      <c r="F418" t="s">
        <v>1959</v>
      </c>
      <c r="G418" t="s">
        <v>1748</v>
      </c>
      <c r="H418" t="s">
        <v>2279</v>
      </c>
      <c r="I418">
        <v>2</v>
      </c>
      <c r="J418" t="s">
        <v>2279</v>
      </c>
      <c r="K418" t="s">
        <v>2279</v>
      </c>
      <c r="L418" t="s">
        <v>2279</v>
      </c>
      <c r="M418" t="s">
        <v>2279</v>
      </c>
      <c r="N418" t="s">
        <v>2279</v>
      </c>
      <c r="O418" s="190" t="str">
        <f t="shared" si="6"/>
        <v>[S06_AccredCertVerifiersAnnexI][21][NumberAccredited]</v>
      </c>
    </row>
    <row r="419" spans="1:15" x14ac:dyDescent="0.3">
      <c r="A419" t="s">
        <v>2277</v>
      </c>
      <c r="B419" t="s">
        <v>1951</v>
      </c>
      <c r="C419" t="s">
        <v>1957</v>
      </c>
      <c r="D419">
        <v>22</v>
      </c>
      <c r="E419" t="s">
        <v>1447</v>
      </c>
      <c r="F419" t="s">
        <v>1959</v>
      </c>
      <c r="G419" t="s">
        <v>1748</v>
      </c>
      <c r="H419" t="s">
        <v>2279</v>
      </c>
      <c r="I419">
        <v>2</v>
      </c>
      <c r="J419" t="s">
        <v>2279</v>
      </c>
      <c r="K419" t="s">
        <v>2279</v>
      </c>
      <c r="L419" t="s">
        <v>2279</v>
      </c>
      <c r="M419" t="s">
        <v>2279</v>
      </c>
      <c r="N419" t="s">
        <v>2279</v>
      </c>
      <c r="O419" s="190" t="str">
        <f t="shared" si="6"/>
        <v>[S06_AccredCertVerifiersAnnexI][22][NumberAccredited]</v>
      </c>
    </row>
    <row r="420" spans="1:15" x14ac:dyDescent="0.3">
      <c r="A420" t="s">
        <v>2277</v>
      </c>
      <c r="B420" t="s">
        <v>1951</v>
      </c>
      <c r="C420" t="s">
        <v>1957</v>
      </c>
      <c r="D420">
        <v>23</v>
      </c>
      <c r="E420" t="s">
        <v>1447</v>
      </c>
      <c r="F420" t="s">
        <v>1959</v>
      </c>
      <c r="G420" t="s">
        <v>1748</v>
      </c>
      <c r="H420" t="s">
        <v>2279</v>
      </c>
      <c r="I420">
        <v>2</v>
      </c>
      <c r="J420" t="s">
        <v>2279</v>
      </c>
      <c r="K420" t="s">
        <v>2279</v>
      </c>
      <c r="L420" t="s">
        <v>2279</v>
      </c>
      <c r="M420" t="s">
        <v>2279</v>
      </c>
      <c r="N420" t="s">
        <v>2279</v>
      </c>
      <c r="O420" s="190" t="str">
        <f t="shared" si="6"/>
        <v>[S06_AccredCertVerifiersAnnexI][23][NumberAccredited]</v>
      </c>
    </row>
    <row r="421" spans="1:15" x14ac:dyDescent="0.3">
      <c r="A421" t="s">
        <v>2277</v>
      </c>
      <c r="B421" t="s">
        <v>1951</v>
      </c>
      <c r="C421" t="s">
        <v>1957</v>
      </c>
      <c r="D421">
        <v>24</v>
      </c>
      <c r="E421" t="s">
        <v>1447</v>
      </c>
      <c r="F421" t="s">
        <v>1959</v>
      </c>
      <c r="G421" t="s">
        <v>1748</v>
      </c>
      <c r="H421" t="s">
        <v>2279</v>
      </c>
      <c r="I421">
        <v>3</v>
      </c>
      <c r="J421" t="s">
        <v>2279</v>
      </c>
      <c r="K421" t="s">
        <v>2279</v>
      </c>
      <c r="L421" t="s">
        <v>2279</v>
      </c>
      <c r="M421" t="s">
        <v>2279</v>
      </c>
      <c r="N421" t="s">
        <v>2279</v>
      </c>
      <c r="O421" s="190" t="str">
        <f t="shared" si="6"/>
        <v>[S06_AccredCertVerifiersAnnexI][24][NumberAccredited]</v>
      </c>
    </row>
    <row r="422" spans="1:15" x14ac:dyDescent="0.3">
      <c r="A422" t="s">
        <v>2277</v>
      </c>
      <c r="B422" t="s">
        <v>1951</v>
      </c>
      <c r="C422" t="s">
        <v>1957</v>
      </c>
      <c r="D422">
        <v>1</v>
      </c>
      <c r="E422" t="s">
        <v>1447</v>
      </c>
      <c r="F422" t="s">
        <v>1960</v>
      </c>
      <c r="G422" t="s">
        <v>1748</v>
      </c>
      <c r="H422" t="s">
        <v>2279</v>
      </c>
      <c r="I422">
        <v>3</v>
      </c>
      <c r="J422" t="s">
        <v>2279</v>
      </c>
      <c r="K422" t="s">
        <v>2279</v>
      </c>
      <c r="L422" t="s">
        <v>2279</v>
      </c>
      <c r="M422" t="s">
        <v>2279</v>
      </c>
      <c r="N422" t="s">
        <v>2279</v>
      </c>
      <c r="O422" s="190" t="str">
        <f t="shared" si="6"/>
        <v>[S06_AccredCertVerifiersAnnexI][1][NumberCertified]</v>
      </c>
    </row>
    <row r="423" spans="1:15" x14ac:dyDescent="0.3">
      <c r="A423" t="s">
        <v>2277</v>
      </c>
      <c r="B423" t="s">
        <v>1951</v>
      </c>
      <c r="C423" t="s">
        <v>1957</v>
      </c>
      <c r="D423">
        <v>2</v>
      </c>
      <c r="E423" t="s">
        <v>1447</v>
      </c>
      <c r="F423" t="s">
        <v>1960</v>
      </c>
      <c r="G423" t="s">
        <v>1748</v>
      </c>
      <c r="H423" t="s">
        <v>2279</v>
      </c>
      <c r="I423">
        <v>3</v>
      </c>
      <c r="J423" t="s">
        <v>2279</v>
      </c>
      <c r="K423" t="s">
        <v>2279</v>
      </c>
      <c r="L423" t="s">
        <v>2279</v>
      </c>
      <c r="M423" t="s">
        <v>2279</v>
      </c>
      <c r="N423" t="s">
        <v>2279</v>
      </c>
      <c r="O423" s="190" t="str">
        <f t="shared" si="6"/>
        <v>[S06_AccredCertVerifiersAnnexI][2][NumberCertified]</v>
      </c>
    </row>
    <row r="424" spans="1:15" x14ac:dyDescent="0.3">
      <c r="A424" t="s">
        <v>2277</v>
      </c>
      <c r="B424" t="s">
        <v>1951</v>
      </c>
      <c r="C424" t="s">
        <v>1957</v>
      </c>
      <c r="D424">
        <v>3</v>
      </c>
      <c r="E424" t="s">
        <v>1447</v>
      </c>
      <c r="F424" t="s">
        <v>1960</v>
      </c>
      <c r="G424" t="s">
        <v>1748</v>
      </c>
      <c r="H424" t="s">
        <v>2279</v>
      </c>
      <c r="I424">
        <v>3</v>
      </c>
      <c r="J424" t="s">
        <v>2279</v>
      </c>
      <c r="K424" t="s">
        <v>2279</v>
      </c>
      <c r="L424" t="s">
        <v>2279</v>
      </c>
      <c r="M424" t="s">
        <v>2279</v>
      </c>
      <c r="N424" t="s">
        <v>2279</v>
      </c>
      <c r="O424" s="190" t="str">
        <f t="shared" si="6"/>
        <v>[S06_AccredCertVerifiersAnnexI][3][NumberCertified]</v>
      </c>
    </row>
    <row r="425" spans="1:15" x14ac:dyDescent="0.3">
      <c r="A425" t="s">
        <v>2277</v>
      </c>
      <c r="B425" t="s">
        <v>1951</v>
      </c>
      <c r="C425" t="s">
        <v>1957</v>
      </c>
      <c r="D425">
        <v>4</v>
      </c>
      <c r="E425" t="s">
        <v>1447</v>
      </c>
      <c r="F425" t="s">
        <v>1960</v>
      </c>
      <c r="G425" t="s">
        <v>1748</v>
      </c>
      <c r="H425" t="s">
        <v>2279</v>
      </c>
      <c r="I425">
        <v>3</v>
      </c>
      <c r="J425" t="s">
        <v>2279</v>
      </c>
      <c r="K425" t="s">
        <v>2279</v>
      </c>
      <c r="L425" t="s">
        <v>2279</v>
      </c>
      <c r="M425" t="s">
        <v>2279</v>
      </c>
      <c r="N425" t="s">
        <v>2279</v>
      </c>
      <c r="O425" s="190" t="str">
        <f t="shared" si="6"/>
        <v>[S06_AccredCertVerifiersAnnexI][4][NumberCertified]</v>
      </c>
    </row>
    <row r="426" spans="1:15" x14ac:dyDescent="0.3">
      <c r="A426" t="s">
        <v>2277</v>
      </c>
      <c r="B426" t="s">
        <v>1951</v>
      </c>
      <c r="C426" t="s">
        <v>1957</v>
      </c>
      <c r="D426">
        <v>5</v>
      </c>
      <c r="E426" t="s">
        <v>1447</v>
      </c>
      <c r="F426" t="s">
        <v>1960</v>
      </c>
      <c r="G426" t="s">
        <v>1748</v>
      </c>
      <c r="H426" t="s">
        <v>2279</v>
      </c>
      <c r="I426">
        <v>3</v>
      </c>
      <c r="J426" t="s">
        <v>2279</v>
      </c>
      <c r="K426" t="s">
        <v>2279</v>
      </c>
      <c r="L426" t="s">
        <v>2279</v>
      </c>
      <c r="M426" t="s">
        <v>2279</v>
      </c>
      <c r="N426" t="s">
        <v>2279</v>
      </c>
      <c r="O426" s="190" t="str">
        <f t="shared" si="6"/>
        <v>[S06_AccredCertVerifiersAnnexI][5][NumberCertified]</v>
      </c>
    </row>
    <row r="427" spans="1:15" x14ac:dyDescent="0.3">
      <c r="A427" t="s">
        <v>2277</v>
      </c>
      <c r="B427" t="s">
        <v>1951</v>
      </c>
      <c r="C427" t="s">
        <v>1957</v>
      </c>
      <c r="D427">
        <v>6</v>
      </c>
      <c r="E427" t="s">
        <v>1447</v>
      </c>
      <c r="F427" t="s">
        <v>1960</v>
      </c>
      <c r="G427" t="s">
        <v>1748</v>
      </c>
      <c r="H427" t="s">
        <v>2279</v>
      </c>
      <c r="I427">
        <v>3</v>
      </c>
      <c r="J427" t="s">
        <v>2279</v>
      </c>
      <c r="K427" t="s">
        <v>2279</v>
      </c>
      <c r="L427" t="s">
        <v>2279</v>
      </c>
      <c r="M427" t="s">
        <v>2279</v>
      </c>
      <c r="N427" t="s">
        <v>2279</v>
      </c>
      <c r="O427" s="190" t="str">
        <f t="shared" si="6"/>
        <v>[S06_AccredCertVerifiersAnnexI][6][NumberCertified]</v>
      </c>
    </row>
    <row r="428" spans="1:15" x14ac:dyDescent="0.3">
      <c r="A428" t="s">
        <v>2277</v>
      </c>
      <c r="B428" t="s">
        <v>1951</v>
      </c>
      <c r="C428" t="s">
        <v>1957</v>
      </c>
      <c r="D428">
        <v>7</v>
      </c>
      <c r="E428" t="s">
        <v>1447</v>
      </c>
      <c r="F428" t="s">
        <v>1960</v>
      </c>
      <c r="G428" t="s">
        <v>1748</v>
      </c>
      <c r="H428" t="s">
        <v>2279</v>
      </c>
      <c r="I428">
        <v>2</v>
      </c>
      <c r="J428" t="s">
        <v>2279</v>
      </c>
      <c r="K428" t="s">
        <v>2279</v>
      </c>
      <c r="L428" t="s">
        <v>2279</v>
      </c>
      <c r="M428" t="s">
        <v>2279</v>
      </c>
      <c r="N428" t="s">
        <v>2279</v>
      </c>
      <c r="O428" s="190" t="str">
        <f t="shared" si="6"/>
        <v>[S06_AccredCertVerifiersAnnexI][7][NumberCertified]</v>
      </c>
    </row>
    <row r="429" spans="1:15" x14ac:dyDescent="0.3">
      <c r="A429" t="s">
        <v>2277</v>
      </c>
      <c r="B429" t="s">
        <v>1951</v>
      </c>
      <c r="C429" t="s">
        <v>1957</v>
      </c>
      <c r="D429">
        <v>8</v>
      </c>
      <c r="E429" t="s">
        <v>1447</v>
      </c>
      <c r="F429" t="s">
        <v>1960</v>
      </c>
      <c r="G429" t="s">
        <v>1748</v>
      </c>
      <c r="H429" t="s">
        <v>2279</v>
      </c>
      <c r="I429">
        <v>1</v>
      </c>
      <c r="J429" t="s">
        <v>2279</v>
      </c>
      <c r="K429" t="s">
        <v>2279</v>
      </c>
      <c r="L429" t="s">
        <v>2279</v>
      </c>
      <c r="M429" t="s">
        <v>2279</v>
      </c>
      <c r="N429" t="s">
        <v>2279</v>
      </c>
      <c r="O429" s="190" t="str">
        <f t="shared" si="6"/>
        <v>[S06_AccredCertVerifiersAnnexI][8][NumberCertified]</v>
      </c>
    </row>
    <row r="430" spans="1:15" x14ac:dyDescent="0.3">
      <c r="A430" t="s">
        <v>2277</v>
      </c>
      <c r="B430" t="s">
        <v>1951</v>
      </c>
      <c r="C430" t="s">
        <v>1957</v>
      </c>
      <c r="D430">
        <v>9</v>
      </c>
      <c r="E430" t="s">
        <v>1447</v>
      </c>
      <c r="F430" t="s">
        <v>1960</v>
      </c>
      <c r="G430" t="s">
        <v>1748</v>
      </c>
      <c r="H430" t="s">
        <v>2279</v>
      </c>
      <c r="I430">
        <v>2</v>
      </c>
      <c r="J430" t="s">
        <v>2279</v>
      </c>
      <c r="K430" t="s">
        <v>2279</v>
      </c>
      <c r="L430" t="s">
        <v>2279</v>
      </c>
      <c r="M430" t="s">
        <v>2279</v>
      </c>
      <c r="N430" t="s">
        <v>2279</v>
      </c>
      <c r="O430" s="190" t="str">
        <f t="shared" si="6"/>
        <v>[S06_AccredCertVerifiersAnnexI][9][NumberCertified]</v>
      </c>
    </row>
    <row r="431" spans="1:15" x14ac:dyDescent="0.3">
      <c r="A431" t="s">
        <v>2277</v>
      </c>
      <c r="B431" t="s">
        <v>1951</v>
      </c>
      <c r="C431" t="s">
        <v>1957</v>
      </c>
      <c r="D431">
        <v>10</v>
      </c>
      <c r="E431" t="s">
        <v>1447</v>
      </c>
      <c r="F431" t="s">
        <v>1960</v>
      </c>
      <c r="G431" t="s">
        <v>1748</v>
      </c>
      <c r="H431" t="s">
        <v>2279</v>
      </c>
      <c r="I431">
        <v>3</v>
      </c>
      <c r="J431" t="s">
        <v>2279</v>
      </c>
      <c r="K431" t="s">
        <v>2279</v>
      </c>
      <c r="L431" t="s">
        <v>2279</v>
      </c>
      <c r="M431" t="s">
        <v>2279</v>
      </c>
      <c r="N431" t="s">
        <v>2279</v>
      </c>
      <c r="O431" s="190" t="str">
        <f t="shared" si="6"/>
        <v>[S06_AccredCertVerifiersAnnexI][10][NumberCertified]</v>
      </c>
    </row>
    <row r="432" spans="1:15" x14ac:dyDescent="0.3">
      <c r="A432" t="s">
        <v>2277</v>
      </c>
      <c r="B432" t="s">
        <v>1951</v>
      </c>
      <c r="C432" t="s">
        <v>1957</v>
      </c>
      <c r="D432">
        <v>11</v>
      </c>
      <c r="E432" t="s">
        <v>1447</v>
      </c>
      <c r="F432" t="s">
        <v>1960</v>
      </c>
      <c r="G432" t="s">
        <v>1748</v>
      </c>
      <c r="H432" t="s">
        <v>2279</v>
      </c>
      <c r="I432">
        <v>3</v>
      </c>
      <c r="J432" t="s">
        <v>2279</v>
      </c>
      <c r="K432" t="s">
        <v>2279</v>
      </c>
      <c r="L432" t="s">
        <v>2279</v>
      </c>
      <c r="M432" t="s">
        <v>2279</v>
      </c>
      <c r="N432" t="s">
        <v>2279</v>
      </c>
      <c r="O432" s="190" t="str">
        <f t="shared" si="6"/>
        <v>[S06_AccredCertVerifiersAnnexI][11][NumberCertified]</v>
      </c>
    </row>
    <row r="433" spans="1:15" x14ac:dyDescent="0.3">
      <c r="A433" t="s">
        <v>2277</v>
      </c>
      <c r="B433" t="s">
        <v>1951</v>
      </c>
      <c r="C433" t="s">
        <v>1957</v>
      </c>
      <c r="D433">
        <v>12</v>
      </c>
      <c r="E433" t="s">
        <v>1447</v>
      </c>
      <c r="F433" t="s">
        <v>1960</v>
      </c>
      <c r="G433" t="s">
        <v>1748</v>
      </c>
      <c r="H433" t="s">
        <v>2279</v>
      </c>
      <c r="I433">
        <v>3</v>
      </c>
      <c r="J433" t="s">
        <v>2279</v>
      </c>
      <c r="K433" t="s">
        <v>2279</v>
      </c>
      <c r="L433" t="s">
        <v>2279</v>
      </c>
      <c r="M433" t="s">
        <v>2279</v>
      </c>
      <c r="N433" t="s">
        <v>2279</v>
      </c>
      <c r="O433" s="190" t="str">
        <f t="shared" si="6"/>
        <v>[S06_AccredCertVerifiersAnnexI][12][NumberCertified]</v>
      </c>
    </row>
    <row r="434" spans="1:15" x14ac:dyDescent="0.3">
      <c r="A434" t="s">
        <v>2277</v>
      </c>
      <c r="B434" t="s">
        <v>1951</v>
      </c>
      <c r="C434" t="s">
        <v>1957</v>
      </c>
      <c r="D434">
        <v>13</v>
      </c>
      <c r="E434" t="s">
        <v>1447</v>
      </c>
      <c r="F434" t="s">
        <v>1960</v>
      </c>
      <c r="G434" t="s">
        <v>1748</v>
      </c>
      <c r="H434" t="s">
        <v>2279</v>
      </c>
      <c r="I434">
        <v>3</v>
      </c>
      <c r="J434" t="s">
        <v>2279</v>
      </c>
      <c r="K434" t="s">
        <v>2279</v>
      </c>
      <c r="L434" t="s">
        <v>2279</v>
      </c>
      <c r="M434" t="s">
        <v>2279</v>
      </c>
      <c r="N434" t="s">
        <v>2279</v>
      </c>
      <c r="O434" s="190" t="str">
        <f t="shared" si="6"/>
        <v>[S06_AccredCertVerifiersAnnexI][13][NumberCertified]</v>
      </c>
    </row>
    <row r="435" spans="1:15" x14ac:dyDescent="0.3">
      <c r="A435" t="s">
        <v>2277</v>
      </c>
      <c r="B435" t="s">
        <v>1951</v>
      </c>
      <c r="C435" t="s">
        <v>1957</v>
      </c>
      <c r="D435">
        <v>14</v>
      </c>
      <c r="E435" t="s">
        <v>1447</v>
      </c>
      <c r="F435" t="s">
        <v>1960</v>
      </c>
      <c r="G435" t="s">
        <v>1748</v>
      </c>
      <c r="H435" t="s">
        <v>2279</v>
      </c>
      <c r="I435">
        <v>3</v>
      </c>
      <c r="J435" t="s">
        <v>2279</v>
      </c>
      <c r="K435" t="s">
        <v>2279</v>
      </c>
      <c r="L435" t="s">
        <v>2279</v>
      </c>
      <c r="M435" t="s">
        <v>2279</v>
      </c>
      <c r="N435" t="s">
        <v>2279</v>
      </c>
      <c r="O435" s="190" t="str">
        <f t="shared" si="6"/>
        <v>[S06_AccredCertVerifiersAnnexI][14][NumberCertified]</v>
      </c>
    </row>
    <row r="436" spans="1:15" x14ac:dyDescent="0.3">
      <c r="A436" t="s">
        <v>2277</v>
      </c>
      <c r="B436" t="s">
        <v>1951</v>
      </c>
      <c r="C436" t="s">
        <v>1957</v>
      </c>
      <c r="D436">
        <v>15</v>
      </c>
      <c r="E436" t="s">
        <v>1447</v>
      </c>
      <c r="F436" t="s">
        <v>1960</v>
      </c>
      <c r="G436" t="s">
        <v>1748</v>
      </c>
      <c r="H436" t="s">
        <v>2279</v>
      </c>
      <c r="I436">
        <v>3</v>
      </c>
      <c r="J436" t="s">
        <v>2279</v>
      </c>
      <c r="K436" t="s">
        <v>2279</v>
      </c>
      <c r="L436" t="s">
        <v>2279</v>
      </c>
      <c r="M436" t="s">
        <v>2279</v>
      </c>
      <c r="N436" t="s">
        <v>2279</v>
      </c>
      <c r="O436" s="190" t="str">
        <f t="shared" si="6"/>
        <v>[S06_AccredCertVerifiersAnnexI][15][NumberCertified]</v>
      </c>
    </row>
    <row r="437" spans="1:15" x14ac:dyDescent="0.3">
      <c r="A437" t="s">
        <v>2277</v>
      </c>
      <c r="B437" t="s">
        <v>1951</v>
      </c>
      <c r="C437" t="s">
        <v>1957</v>
      </c>
      <c r="D437">
        <v>16</v>
      </c>
      <c r="E437" t="s">
        <v>1447</v>
      </c>
      <c r="F437" t="s">
        <v>1960</v>
      </c>
      <c r="G437" t="s">
        <v>1748</v>
      </c>
      <c r="H437" t="s">
        <v>2279</v>
      </c>
      <c r="I437">
        <v>2</v>
      </c>
      <c r="J437" t="s">
        <v>2279</v>
      </c>
      <c r="K437" t="s">
        <v>2279</v>
      </c>
      <c r="L437" t="s">
        <v>2279</v>
      </c>
      <c r="M437" t="s">
        <v>2279</v>
      </c>
      <c r="N437" t="s">
        <v>2279</v>
      </c>
      <c r="O437" s="190" t="str">
        <f t="shared" si="6"/>
        <v>[S06_AccredCertVerifiersAnnexI][16][NumberCertified]</v>
      </c>
    </row>
    <row r="438" spans="1:15" x14ac:dyDescent="0.3">
      <c r="A438" t="s">
        <v>2277</v>
      </c>
      <c r="B438" t="s">
        <v>1951</v>
      </c>
      <c r="C438" t="s">
        <v>1957</v>
      </c>
      <c r="D438">
        <v>17</v>
      </c>
      <c r="E438" t="s">
        <v>1447</v>
      </c>
      <c r="F438" t="s">
        <v>1960</v>
      </c>
      <c r="G438" t="s">
        <v>1748</v>
      </c>
      <c r="H438" t="s">
        <v>2279</v>
      </c>
      <c r="I438">
        <v>2</v>
      </c>
      <c r="J438" t="s">
        <v>2279</v>
      </c>
      <c r="K438" t="s">
        <v>2279</v>
      </c>
      <c r="L438" t="s">
        <v>2279</v>
      </c>
      <c r="M438" t="s">
        <v>2279</v>
      </c>
      <c r="N438" t="s">
        <v>2279</v>
      </c>
      <c r="O438" s="190" t="str">
        <f t="shared" si="6"/>
        <v>[S06_AccredCertVerifiersAnnexI][17][NumberCertified]</v>
      </c>
    </row>
    <row r="439" spans="1:15" x14ac:dyDescent="0.3">
      <c r="A439" t="s">
        <v>2277</v>
      </c>
      <c r="B439" t="s">
        <v>1951</v>
      </c>
      <c r="C439" t="s">
        <v>1957</v>
      </c>
      <c r="D439">
        <v>18</v>
      </c>
      <c r="E439" t="s">
        <v>1447</v>
      </c>
      <c r="F439" t="s">
        <v>1960</v>
      </c>
      <c r="G439" t="s">
        <v>1748</v>
      </c>
      <c r="H439" t="s">
        <v>2279</v>
      </c>
      <c r="I439">
        <v>2</v>
      </c>
      <c r="J439" t="s">
        <v>2279</v>
      </c>
      <c r="K439" t="s">
        <v>2279</v>
      </c>
      <c r="L439" t="s">
        <v>2279</v>
      </c>
      <c r="M439" t="s">
        <v>2279</v>
      </c>
      <c r="N439" t="s">
        <v>2279</v>
      </c>
      <c r="O439" s="190" t="str">
        <f t="shared" si="6"/>
        <v>[S06_AccredCertVerifiersAnnexI][18][NumberCertified]</v>
      </c>
    </row>
    <row r="440" spans="1:15" x14ac:dyDescent="0.3">
      <c r="A440" t="s">
        <v>2277</v>
      </c>
      <c r="B440" t="s">
        <v>1951</v>
      </c>
      <c r="C440" t="s">
        <v>1957</v>
      </c>
      <c r="D440">
        <v>19</v>
      </c>
      <c r="E440" t="s">
        <v>1447</v>
      </c>
      <c r="F440" t="s">
        <v>1960</v>
      </c>
      <c r="G440" t="s">
        <v>1748</v>
      </c>
      <c r="H440" t="s">
        <v>2279</v>
      </c>
      <c r="I440">
        <v>2</v>
      </c>
      <c r="J440" t="s">
        <v>2279</v>
      </c>
      <c r="K440" t="s">
        <v>2279</v>
      </c>
      <c r="L440" t="s">
        <v>2279</v>
      </c>
      <c r="M440" t="s">
        <v>2279</v>
      </c>
      <c r="N440" t="s">
        <v>2279</v>
      </c>
      <c r="O440" s="190" t="str">
        <f t="shared" si="6"/>
        <v>[S06_AccredCertVerifiersAnnexI][19][NumberCertified]</v>
      </c>
    </row>
    <row r="441" spans="1:15" x14ac:dyDescent="0.3">
      <c r="A441" t="s">
        <v>2277</v>
      </c>
      <c r="B441" t="s">
        <v>1951</v>
      </c>
      <c r="C441" t="s">
        <v>1957</v>
      </c>
      <c r="D441">
        <v>20</v>
      </c>
      <c r="E441" t="s">
        <v>1447</v>
      </c>
      <c r="F441" t="s">
        <v>1960</v>
      </c>
      <c r="G441" t="s">
        <v>1748</v>
      </c>
      <c r="H441" t="s">
        <v>2279</v>
      </c>
      <c r="I441">
        <v>2</v>
      </c>
      <c r="J441" t="s">
        <v>2279</v>
      </c>
      <c r="K441" t="s">
        <v>2279</v>
      </c>
      <c r="L441" t="s">
        <v>2279</v>
      </c>
      <c r="M441" t="s">
        <v>2279</v>
      </c>
      <c r="N441" t="s">
        <v>2279</v>
      </c>
      <c r="O441" s="190" t="str">
        <f t="shared" si="6"/>
        <v>[S06_AccredCertVerifiersAnnexI][20][NumberCertified]</v>
      </c>
    </row>
    <row r="442" spans="1:15" x14ac:dyDescent="0.3">
      <c r="A442" t="s">
        <v>2277</v>
      </c>
      <c r="B442" t="s">
        <v>1951</v>
      </c>
      <c r="C442" t="s">
        <v>1957</v>
      </c>
      <c r="D442">
        <v>21</v>
      </c>
      <c r="E442" t="s">
        <v>1447</v>
      </c>
      <c r="F442" t="s">
        <v>1960</v>
      </c>
      <c r="G442" t="s">
        <v>1748</v>
      </c>
      <c r="H442" t="s">
        <v>2279</v>
      </c>
      <c r="I442">
        <v>2</v>
      </c>
      <c r="J442" t="s">
        <v>2279</v>
      </c>
      <c r="K442" t="s">
        <v>2279</v>
      </c>
      <c r="L442" t="s">
        <v>2279</v>
      </c>
      <c r="M442" t="s">
        <v>2279</v>
      </c>
      <c r="N442" t="s">
        <v>2279</v>
      </c>
      <c r="O442" s="190" t="str">
        <f t="shared" si="6"/>
        <v>[S06_AccredCertVerifiersAnnexI][21][NumberCertified]</v>
      </c>
    </row>
    <row r="443" spans="1:15" x14ac:dyDescent="0.3">
      <c r="A443" t="s">
        <v>2277</v>
      </c>
      <c r="B443" t="s">
        <v>1951</v>
      </c>
      <c r="C443" t="s">
        <v>1957</v>
      </c>
      <c r="D443">
        <v>22</v>
      </c>
      <c r="E443" t="s">
        <v>1447</v>
      </c>
      <c r="F443" t="s">
        <v>1960</v>
      </c>
      <c r="G443" t="s">
        <v>1748</v>
      </c>
      <c r="H443" t="s">
        <v>2279</v>
      </c>
      <c r="I443">
        <v>2</v>
      </c>
      <c r="J443" t="s">
        <v>2279</v>
      </c>
      <c r="K443" t="s">
        <v>2279</v>
      </c>
      <c r="L443" t="s">
        <v>2279</v>
      </c>
      <c r="M443" t="s">
        <v>2279</v>
      </c>
      <c r="N443" t="s">
        <v>2279</v>
      </c>
      <c r="O443" s="190" t="str">
        <f t="shared" si="6"/>
        <v>[S06_AccredCertVerifiersAnnexI][22][NumberCertified]</v>
      </c>
    </row>
    <row r="444" spans="1:15" x14ac:dyDescent="0.3">
      <c r="A444" t="s">
        <v>2277</v>
      </c>
      <c r="B444" t="s">
        <v>1951</v>
      </c>
      <c r="C444" t="s">
        <v>1957</v>
      </c>
      <c r="D444">
        <v>23</v>
      </c>
      <c r="E444" t="s">
        <v>1447</v>
      </c>
      <c r="F444" t="s">
        <v>1960</v>
      </c>
      <c r="G444" t="s">
        <v>1748</v>
      </c>
      <c r="H444" t="s">
        <v>2279</v>
      </c>
      <c r="I444">
        <v>2</v>
      </c>
      <c r="J444" t="s">
        <v>2279</v>
      </c>
      <c r="K444" t="s">
        <v>2279</v>
      </c>
      <c r="L444" t="s">
        <v>2279</v>
      </c>
      <c r="M444" t="s">
        <v>2279</v>
      </c>
      <c r="N444" t="s">
        <v>2279</v>
      </c>
      <c r="O444" s="190" t="str">
        <f t="shared" si="6"/>
        <v>[S06_AccredCertVerifiersAnnexI][23][NumberCertified]</v>
      </c>
    </row>
    <row r="445" spans="1:15" x14ac:dyDescent="0.3">
      <c r="A445" t="s">
        <v>2277</v>
      </c>
      <c r="B445" t="s">
        <v>1951</v>
      </c>
      <c r="C445" t="s">
        <v>1957</v>
      </c>
      <c r="D445">
        <v>24</v>
      </c>
      <c r="E445" t="s">
        <v>1447</v>
      </c>
      <c r="F445" t="s">
        <v>1960</v>
      </c>
      <c r="G445" t="s">
        <v>1748</v>
      </c>
      <c r="H445" t="s">
        <v>2279</v>
      </c>
      <c r="I445">
        <v>3</v>
      </c>
      <c r="J445" t="s">
        <v>2279</v>
      </c>
      <c r="K445" t="s">
        <v>2279</v>
      </c>
      <c r="L445" t="s">
        <v>2279</v>
      </c>
      <c r="M445" t="s">
        <v>2279</v>
      </c>
      <c r="N445" t="s">
        <v>2279</v>
      </c>
      <c r="O445" s="190" t="str">
        <f t="shared" si="6"/>
        <v>[S06_AccredCertVerifiersAnnexI][24][NumberCertified]</v>
      </c>
    </row>
    <row r="446" spans="1:15" x14ac:dyDescent="0.3">
      <c r="A446" t="s">
        <v>2277</v>
      </c>
      <c r="B446" t="s">
        <v>1961</v>
      </c>
      <c r="C446" t="s">
        <v>1962</v>
      </c>
      <c r="D446">
        <v>1</v>
      </c>
      <c r="E446" t="s">
        <v>1447</v>
      </c>
      <c r="F446" t="s">
        <v>1963</v>
      </c>
      <c r="G446" t="s">
        <v>1759</v>
      </c>
      <c r="H446" t="s">
        <v>2279</v>
      </c>
      <c r="I446" t="s">
        <v>2279</v>
      </c>
      <c r="J446" t="s">
        <v>2279</v>
      </c>
      <c r="K446" t="s">
        <v>2279</v>
      </c>
      <c r="L446" t="s">
        <v>1447</v>
      </c>
      <c r="M446" t="s">
        <v>2279</v>
      </c>
      <c r="N446" t="s">
        <v>2279</v>
      </c>
      <c r="O446" s="190" t="str">
        <f t="shared" si="6"/>
        <v>[S06_ApplicationInformationExchangeRequirements1][1][FromOwnMS]</v>
      </c>
    </row>
    <row r="447" spans="1:15" x14ac:dyDescent="0.3">
      <c r="A447" t="s">
        <v>2277</v>
      </c>
      <c r="B447" t="s">
        <v>1961</v>
      </c>
      <c r="C447" t="s">
        <v>1962</v>
      </c>
      <c r="D447">
        <v>1</v>
      </c>
      <c r="E447" t="s">
        <v>1447</v>
      </c>
      <c r="F447" t="s">
        <v>1964</v>
      </c>
      <c r="G447" t="s">
        <v>1759</v>
      </c>
      <c r="H447" t="s">
        <v>2279</v>
      </c>
      <c r="I447" t="s">
        <v>2279</v>
      </c>
      <c r="J447" t="s">
        <v>2279</v>
      </c>
      <c r="K447" t="s">
        <v>2279</v>
      </c>
      <c r="L447" t="s">
        <v>1419</v>
      </c>
      <c r="M447" t="s">
        <v>2279</v>
      </c>
      <c r="N447" t="s">
        <v>2279</v>
      </c>
      <c r="O447" s="190" t="str">
        <f t="shared" si="6"/>
        <v>[S06_ApplicationInformationExchangeRequirements1][1][FromOtherMS]</v>
      </c>
    </row>
    <row r="448" spans="1:15" x14ac:dyDescent="0.3">
      <c r="A448" t="s">
        <v>2277</v>
      </c>
      <c r="B448" t="s">
        <v>1961</v>
      </c>
      <c r="C448" t="s">
        <v>1962</v>
      </c>
      <c r="D448">
        <v>2</v>
      </c>
      <c r="E448" t="s">
        <v>1447</v>
      </c>
      <c r="F448" t="s">
        <v>1963</v>
      </c>
      <c r="G448" t="s">
        <v>1759</v>
      </c>
      <c r="H448" t="s">
        <v>2279</v>
      </c>
      <c r="I448" t="s">
        <v>2279</v>
      </c>
      <c r="J448" t="s">
        <v>2279</v>
      </c>
      <c r="K448" t="s">
        <v>2279</v>
      </c>
      <c r="L448" t="s">
        <v>1419</v>
      </c>
      <c r="M448" t="s">
        <v>2279</v>
      </c>
      <c r="N448" t="s">
        <v>2279</v>
      </c>
      <c r="O448" s="190" t="str">
        <f t="shared" si="6"/>
        <v>[S06_ApplicationInformationExchangeRequirements1][2][FromOwnMS]</v>
      </c>
    </row>
    <row r="449" spans="1:15" x14ac:dyDescent="0.3">
      <c r="A449" t="s">
        <v>2277</v>
      </c>
      <c r="B449" t="s">
        <v>1961</v>
      </c>
      <c r="C449" t="s">
        <v>1962</v>
      </c>
      <c r="D449">
        <v>2</v>
      </c>
      <c r="E449" t="s">
        <v>1447</v>
      </c>
      <c r="F449" t="s">
        <v>1964</v>
      </c>
      <c r="G449" t="s">
        <v>1759</v>
      </c>
      <c r="H449" t="s">
        <v>2279</v>
      </c>
      <c r="I449" t="s">
        <v>2279</v>
      </c>
      <c r="J449" t="s">
        <v>2279</v>
      </c>
      <c r="K449" t="s">
        <v>2279</v>
      </c>
      <c r="L449" t="s">
        <v>1447</v>
      </c>
      <c r="M449" t="s">
        <v>2279</v>
      </c>
      <c r="N449" t="s">
        <v>2279</v>
      </c>
      <c r="O449" s="190" t="str">
        <f t="shared" si="6"/>
        <v>[S06_ApplicationInformationExchangeRequirements1][2][FromOtherMS]</v>
      </c>
    </row>
    <row r="450" spans="1:15" x14ac:dyDescent="0.3">
      <c r="A450" t="s">
        <v>2277</v>
      </c>
      <c r="B450" t="s">
        <v>1961</v>
      </c>
      <c r="C450" t="s">
        <v>1962</v>
      </c>
      <c r="D450">
        <v>3</v>
      </c>
      <c r="E450" t="s">
        <v>1447</v>
      </c>
      <c r="F450" t="s">
        <v>1963</v>
      </c>
      <c r="G450" t="s">
        <v>1759</v>
      </c>
      <c r="H450" t="s">
        <v>2279</v>
      </c>
      <c r="I450" t="s">
        <v>2279</v>
      </c>
      <c r="J450" t="s">
        <v>2279</v>
      </c>
      <c r="K450" t="s">
        <v>2279</v>
      </c>
      <c r="L450" t="s">
        <v>1419</v>
      </c>
      <c r="M450" t="s">
        <v>2279</v>
      </c>
      <c r="N450" t="s">
        <v>2279</v>
      </c>
      <c r="O450" s="190" t="str">
        <f t="shared" ref="O450:O513" si="7">"["&amp;$C450&amp;"]["&amp;$D450&amp;"]["&amp;$F450&amp;"]"</f>
        <v>[S06_ApplicationInformationExchangeRequirements1][3][FromOwnMS]</v>
      </c>
    </row>
    <row r="451" spans="1:15" x14ac:dyDescent="0.3">
      <c r="A451" t="s">
        <v>2277</v>
      </c>
      <c r="B451" t="s">
        <v>1961</v>
      </c>
      <c r="C451" t="s">
        <v>1962</v>
      </c>
      <c r="D451">
        <v>3</v>
      </c>
      <c r="E451" t="s">
        <v>1447</v>
      </c>
      <c r="F451" t="s">
        <v>1964</v>
      </c>
      <c r="G451" t="s">
        <v>1759</v>
      </c>
      <c r="H451" t="s">
        <v>2279</v>
      </c>
      <c r="I451" t="s">
        <v>2279</v>
      </c>
      <c r="J451" t="s">
        <v>2279</v>
      </c>
      <c r="K451" t="s">
        <v>2279</v>
      </c>
      <c r="L451" t="s">
        <v>1419</v>
      </c>
      <c r="M451" t="s">
        <v>2279</v>
      </c>
      <c r="N451" t="s">
        <v>2279</v>
      </c>
      <c r="O451" s="190" t="str">
        <f t="shared" si="7"/>
        <v>[S06_ApplicationInformationExchangeRequirements1][3][FromOtherMS]</v>
      </c>
    </row>
    <row r="452" spans="1:15" x14ac:dyDescent="0.3">
      <c r="A452" t="s">
        <v>2277</v>
      </c>
      <c r="B452" t="s">
        <v>1961</v>
      </c>
      <c r="C452" t="s">
        <v>1965</v>
      </c>
      <c r="D452">
        <v>1</v>
      </c>
      <c r="E452" t="s">
        <v>1447</v>
      </c>
      <c r="F452" t="s">
        <v>1966</v>
      </c>
      <c r="G452" t="s">
        <v>1748</v>
      </c>
      <c r="H452" t="s">
        <v>2279</v>
      </c>
      <c r="I452">
        <v>0</v>
      </c>
      <c r="J452" t="s">
        <v>2279</v>
      </c>
      <c r="K452" t="s">
        <v>2279</v>
      </c>
      <c r="L452" t="s">
        <v>2279</v>
      </c>
      <c r="M452" t="s">
        <v>2279</v>
      </c>
      <c r="N452" t="s">
        <v>2279</v>
      </c>
      <c r="O452" s="190" t="str">
        <f t="shared" si="7"/>
        <v>[S06_ApplicationInformationExchangeRequirements2][1][NumberImposedOnVerifiersSuspension]</v>
      </c>
    </row>
    <row r="453" spans="1:15" x14ac:dyDescent="0.3">
      <c r="A453" t="s">
        <v>2277</v>
      </c>
      <c r="B453" t="s">
        <v>1961</v>
      </c>
      <c r="C453" t="s">
        <v>1965</v>
      </c>
      <c r="D453">
        <v>1</v>
      </c>
      <c r="E453" t="s">
        <v>1447</v>
      </c>
      <c r="F453" t="s">
        <v>1967</v>
      </c>
      <c r="G453" t="s">
        <v>1748</v>
      </c>
      <c r="H453" t="s">
        <v>2279</v>
      </c>
      <c r="I453">
        <v>0</v>
      </c>
      <c r="J453" t="s">
        <v>2279</v>
      </c>
      <c r="K453" t="s">
        <v>2279</v>
      </c>
      <c r="L453" t="s">
        <v>2279</v>
      </c>
      <c r="M453" t="s">
        <v>2279</v>
      </c>
      <c r="N453" t="s">
        <v>2279</v>
      </c>
      <c r="O453" s="190" t="str">
        <f t="shared" si="7"/>
        <v>[S06_ApplicationInformationExchangeRequirements2][1][NumberImposedOnVerifiersWithdrawal]</v>
      </c>
    </row>
    <row r="454" spans="1:15" x14ac:dyDescent="0.3">
      <c r="A454" t="s">
        <v>2277</v>
      </c>
      <c r="B454" t="s">
        <v>1961</v>
      </c>
      <c r="C454" t="s">
        <v>1965</v>
      </c>
      <c r="D454">
        <v>1</v>
      </c>
      <c r="E454" t="s">
        <v>1447</v>
      </c>
      <c r="F454" t="s">
        <v>1968</v>
      </c>
      <c r="G454" t="s">
        <v>1748</v>
      </c>
      <c r="H454" t="s">
        <v>2279</v>
      </c>
      <c r="I454">
        <v>0</v>
      </c>
      <c r="J454" t="s">
        <v>2279</v>
      </c>
      <c r="K454" t="s">
        <v>2279</v>
      </c>
      <c r="L454" t="s">
        <v>2279</v>
      </c>
      <c r="M454" t="s">
        <v>2279</v>
      </c>
      <c r="N454" t="s">
        <v>2279</v>
      </c>
      <c r="O454" s="190" t="str">
        <f t="shared" si="7"/>
        <v>[S06_ApplicationInformationExchangeRequirements2][1][NumberImposedOnVerifiersReductionOfScope]</v>
      </c>
    </row>
    <row r="455" spans="1:15" x14ac:dyDescent="0.3">
      <c r="A455" t="s">
        <v>2277</v>
      </c>
      <c r="B455" t="s">
        <v>1961</v>
      </c>
      <c r="C455" t="s">
        <v>1965</v>
      </c>
      <c r="D455">
        <v>2</v>
      </c>
      <c r="E455" t="s">
        <v>1447</v>
      </c>
      <c r="F455" t="s">
        <v>1966</v>
      </c>
      <c r="G455" t="s">
        <v>1748</v>
      </c>
      <c r="H455" t="s">
        <v>2279</v>
      </c>
      <c r="I455">
        <v>0</v>
      </c>
      <c r="J455" t="s">
        <v>2279</v>
      </c>
      <c r="K455" t="s">
        <v>2279</v>
      </c>
      <c r="L455" t="s">
        <v>2279</v>
      </c>
      <c r="M455" t="s">
        <v>2279</v>
      </c>
      <c r="N455" t="s">
        <v>2279</v>
      </c>
      <c r="O455" s="190" t="str">
        <f t="shared" si="7"/>
        <v>[S06_ApplicationInformationExchangeRequirements2][2][NumberImposedOnVerifiersSuspension]</v>
      </c>
    </row>
    <row r="456" spans="1:15" x14ac:dyDescent="0.3">
      <c r="A456" t="s">
        <v>2277</v>
      </c>
      <c r="B456" t="s">
        <v>1961</v>
      </c>
      <c r="C456" t="s">
        <v>1965</v>
      </c>
      <c r="D456">
        <v>2</v>
      </c>
      <c r="E456" t="s">
        <v>1447</v>
      </c>
      <c r="F456" t="s">
        <v>1967</v>
      </c>
      <c r="G456" t="s">
        <v>1748</v>
      </c>
      <c r="H456" t="s">
        <v>2279</v>
      </c>
      <c r="I456">
        <v>0</v>
      </c>
      <c r="J456" t="s">
        <v>2279</v>
      </c>
      <c r="K456" t="s">
        <v>2279</v>
      </c>
      <c r="L456" t="s">
        <v>2279</v>
      </c>
      <c r="M456" t="s">
        <v>2279</v>
      </c>
      <c r="N456" t="s">
        <v>2279</v>
      </c>
      <c r="O456" s="190" t="str">
        <f t="shared" si="7"/>
        <v>[S06_ApplicationInformationExchangeRequirements2][2][NumberImposedOnVerifiersWithdrawal]</v>
      </c>
    </row>
    <row r="457" spans="1:15" x14ac:dyDescent="0.3">
      <c r="A457" t="s">
        <v>2277</v>
      </c>
      <c r="B457" t="s">
        <v>1961</v>
      </c>
      <c r="C457" t="s">
        <v>1965</v>
      </c>
      <c r="D457">
        <v>2</v>
      </c>
      <c r="E457" t="s">
        <v>1447</v>
      </c>
      <c r="F457" t="s">
        <v>1968</v>
      </c>
      <c r="G457" t="s">
        <v>1748</v>
      </c>
      <c r="H457" t="s">
        <v>2279</v>
      </c>
      <c r="I457">
        <v>0</v>
      </c>
      <c r="J457" t="s">
        <v>2279</v>
      </c>
      <c r="K457" t="s">
        <v>2279</v>
      </c>
      <c r="L457" t="s">
        <v>2279</v>
      </c>
      <c r="M457" t="s">
        <v>2279</v>
      </c>
      <c r="N457" t="s">
        <v>2279</v>
      </c>
      <c r="O457" s="190" t="str">
        <f t="shared" si="7"/>
        <v>[S06_ApplicationInformationExchangeRequirements2][2][NumberImposedOnVerifiersReductionOfScope]</v>
      </c>
    </row>
    <row r="458" spans="1:15" x14ac:dyDescent="0.3">
      <c r="A458" t="s">
        <v>2277</v>
      </c>
      <c r="B458" t="s">
        <v>1961</v>
      </c>
      <c r="C458" t="s">
        <v>1969</v>
      </c>
      <c r="D458">
        <v>0</v>
      </c>
      <c r="E458" t="s">
        <v>1447</v>
      </c>
      <c r="F458" t="s">
        <v>1970</v>
      </c>
      <c r="G458" t="s">
        <v>1748</v>
      </c>
      <c r="H458" t="s">
        <v>2279</v>
      </c>
      <c r="I458">
        <v>0</v>
      </c>
      <c r="J458" t="s">
        <v>2279</v>
      </c>
      <c r="K458" t="s">
        <v>2279</v>
      </c>
      <c r="L458" t="s">
        <v>2279</v>
      </c>
      <c r="M458" t="s">
        <v>2279</v>
      </c>
      <c r="N458" t="s">
        <v>2279</v>
      </c>
      <c r="O458" s="190" t="str">
        <f t="shared" si="7"/>
        <v>[S06_ApplicationInformationExchangeRequirements3][0][TimesSurveillanceRequested]</v>
      </c>
    </row>
    <row r="459" spans="1:15" x14ac:dyDescent="0.3">
      <c r="A459" t="s">
        <v>2277</v>
      </c>
      <c r="B459" t="s">
        <v>1961</v>
      </c>
      <c r="C459" t="s">
        <v>1971</v>
      </c>
      <c r="D459">
        <v>1</v>
      </c>
      <c r="E459" t="s">
        <v>1447</v>
      </c>
      <c r="F459" t="s">
        <v>1972</v>
      </c>
      <c r="G459" t="s">
        <v>1748</v>
      </c>
      <c r="H459" t="s">
        <v>2279</v>
      </c>
      <c r="I459">
        <v>0</v>
      </c>
      <c r="J459" t="s">
        <v>2279</v>
      </c>
      <c r="K459" t="s">
        <v>2279</v>
      </c>
      <c r="L459" t="s">
        <v>2279</v>
      </c>
      <c r="M459" t="s">
        <v>2279</v>
      </c>
      <c r="N459" t="s">
        <v>2279</v>
      </c>
      <c r="O459" s="190" t="str">
        <f t="shared" si="7"/>
        <v>[S06_ApplicationInformationExchangeRequirements4][1][NumberOfIssues]</v>
      </c>
    </row>
    <row r="460" spans="1:15" x14ac:dyDescent="0.3">
      <c r="A460" t="s">
        <v>2277</v>
      </c>
      <c r="B460" t="s">
        <v>1961</v>
      </c>
      <c r="C460" t="s">
        <v>1971</v>
      </c>
      <c r="D460">
        <v>1</v>
      </c>
      <c r="E460" t="s">
        <v>1447</v>
      </c>
      <c r="F460" t="s">
        <v>1973</v>
      </c>
      <c r="G460" t="s">
        <v>1748</v>
      </c>
      <c r="H460" t="s">
        <v>2279</v>
      </c>
      <c r="I460">
        <v>0</v>
      </c>
      <c r="J460" t="s">
        <v>2279</v>
      </c>
      <c r="K460" t="s">
        <v>2279</v>
      </c>
      <c r="L460" t="s">
        <v>2279</v>
      </c>
      <c r="M460" t="s">
        <v>2279</v>
      </c>
      <c r="N460" t="s">
        <v>2279</v>
      </c>
      <c r="O460" s="190" t="str">
        <f t="shared" si="7"/>
        <v>[S06_ApplicationInformationExchangeRequirements4][1][NumberOfIssuesResolved]</v>
      </c>
    </row>
    <row r="461" spans="1:15" x14ac:dyDescent="0.3">
      <c r="A461" t="s">
        <v>2277</v>
      </c>
      <c r="B461" t="s">
        <v>1961</v>
      </c>
      <c r="C461" t="s">
        <v>1971</v>
      </c>
      <c r="D461">
        <v>1</v>
      </c>
      <c r="E461" t="s">
        <v>1447</v>
      </c>
      <c r="F461" t="s">
        <v>1974</v>
      </c>
      <c r="G461" t="s">
        <v>1748</v>
      </c>
      <c r="H461" t="s">
        <v>2279</v>
      </c>
      <c r="I461">
        <v>0</v>
      </c>
      <c r="J461" t="s">
        <v>2279</v>
      </c>
      <c r="K461" t="s">
        <v>2279</v>
      </c>
      <c r="L461" t="s">
        <v>2279</v>
      </c>
      <c r="M461" t="s">
        <v>2279</v>
      </c>
      <c r="N461" t="s">
        <v>2279</v>
      </c>
      <c r="O461" s="190" t="str">
        <f t="shared" si="7"/>
        <v>[S06_ApplicationInformationExchangeRequirements4][1][NumberOfPriorIssuesResolved]</v>
      </c>
    </row>
    <row r="462" spans="1:15" x14ac:dyDescent="0.3">
      <c r="A462" t="s">
        <v>2277</v>
      </c>
      <c r="B462" t="s">
        <v>1961</v>
      </c>
      <c r="C462" t="s">
        <v>1971</v>
      </c>
      <c r="D462">
        <v>2</v>
      </c>
      <c r="E462" t="s">
        <v>1447</v>
      </c>
      <c r="F462" t="s">
        <v>1972</v>
      </c>
      <c r="G462" t="s">
        <v>1748</v>
      </c>
      <c r="H462" t="s">
        <v>2279</v>
      </c>
      <c r="I462">
        <v>0</v>
      </c>
      <c r="J462" t="s">
        <v>2279</v>
      </c>
      <c r="K462" t="s">
        <v>2279</v>
      </c>
      <c r="L462" t="s">
        <v>2279</v>
      </c>
      <c r="M462" t="s">
        <v>2279</v>
      </c>
      <c r="N462" t="s">
        <v>2279</v>
      </c>
      <c r="O462" s="190" t="str">
        <f t="shared" si="7"/>
        <v>[S06_ApplicationInformationExchangeRequirements4][2][NumberOfIssues]</v>
      </c>
    </row>
    <row r="463" spans="1:15" x14ac:dyDescent="0.3">
      <c r="A463" t="s">
        <v>2277</v>
      </c>
      <c r="B463" t="s">
        <v>1961</v>
      </c>
      <c r="C463" t="s">
        <v>1971</v>
      </c>
      <c r="D463">
        <v>2</v>
      </c>
      <c r="E463" t="s">
        <v>1447</v>
      </c>
      <c r="F463" t="s">
        <v>1973</v>
      </c>
      <c r="G463" t="s">
        <v>1748</v>
      </c>
      <c r="H463" t="s">
        <v>2279</v>
      </c>
      <c r="I463">
        <v>0</v>
      </c>
      <c r="J463" t="s">
        <v>2279</v>
      </c>
      <c r="K463" t="s">
        <v>2279</v>
      </c>
      <c r="L463" t="s">
        <v>2279</v>
      </c>
      <c r="M463" t="s">
        <v>2279</v>
      </c>
      <c r="N463" t="s">
        <v>2279</v>
      </c>
      <c r="O463" s="190" t="str">
        <f t="shared" si="7"/>
        <v>[S06_ApplicationInformationExchangeRequirements4][2][NumberOfIssuesResolved]</v>
      </c>
    </row>
    <row r="464" spans="1:15" x14ac:dyDescent="0.3">
      <c r="A464" t="s">
        <v>2277</v>
      </c>
      <c r="B464" t="s">
        <v>1961</v>
      </c>
      <c r="C464" t="s">
        <v>1971</v>
      </c>
      <c r="D464">
        <v>2</v>
      </c>
      <c r="E464" t="s">
        <v>1447</v>
      </c>
      <c r="F464" t="s">
        <v>1974</v>
      </c>
      <c r="G464" t="s">
        <v>1748</v>
      </c>
      <c r="H464" t="s">
        <v>2279</v>
      </c>
      <c r="I464">
        <v>0</v>
      </c>
      <c r="J464" t="s">
        <v>2279</v>
      </c>
      <c r="K464" t="s">
        <v>2279</v>
      </c>
      <c r="L464" t="s">
        <v>2279</v>
      </c>
      <c r="M464" t="s">
        <v>2279</v>
      </c>
      <c r="N464" t="s">
        <v>2279</v>
      </c>
      <c r="O464" s="190" t="str">
        <f t="shared" si="7"/>
        <v>[S06_ApplicationInformationExchangeRequirements4][2][NumberOfPriorIssuesResolved]</v>
      </c>
    </row>
    <row r="465" spans="1:15" x14ac:dyDescent="0.3">
      <c r="A465" t="s">
        <v>2277</v>
      </c>
      <c r="B465" t="s">
        <v>1961</v>
      </c>
      <c r="C465" t="s">
        <v>1971</v>
      </c>
      <c r="D465">
        <v>3</v>
      </c>
      <c r="E465" t="s">
        <v>1447</v>
      </c>
      <c r="F465" t="s">
        <v>1972</v>
      </c>
      <c r="G465" t="s">
        <v>1748</v>
      </c>
      <c r="H465" t="s">
        <v>2279</v>
      </c>
      <c r="I465">
        <v>10</v>
      </c>
      <c r="J465" t="s">
        <v>2279</v>
      </c>
      <c r="K465" t="s">
        <v>2279</v>
      </c>
      <c r="L465" t="s">
        <v>2279</v>
      </c>
      <c r="M465" t="s">
        <v>2279</v>
      </c>
      <c r="N465" t="s">
        <v>2279</v>
      </c>
      <c r="O465" s="190" t="str">
        <f t="shared" si="7"/>
        <v>[S06_ApplicationInformationExchangeRequirements4][3][NumberOfIssues]</v>
      </c>
    </row>
    <row r="466" spans="1:15" x14ac:dyDescent="0.3">
      <c r="A466" t="s">
        <v>2277</v>
      </c>
      <c r="B466" t="s">
        <v>1961</v>
      </c>
      <c r="C466" t="s">
        <v>1971</v>
      </c>
      <c r="D466">
        <v>3</v>
      </c>
      <c r="E466" t="s">
        <v>1447</v>
      </c>
      <c r="F466" t="s">
        <v>1973</v>
      </c>
      <c r="G466" t="s">
        <v>1748</v>
      </c>
      <c r="H466" t="s">
        <v>2279</v>
      </c>
      <c r="I466">
        <v>5</v>
      </c>
      <c r="J466" t="s">
        <v>2279</v>
      </c>
      <c r="K466" t="s">
        <v>2279</v>
      </c>
      <c r="L466" t="s">
        <v>2279</v>
      </c>
      <c r="M466" t="s">
        <v>2279</v>
      </c>
      <c r="N466" t="s">
        <v>2279</v>
      </c>
      <c r="O466" s="190" t="str">
        <f t="shared" si="7"/>
        <v>[S06_ApplicationInformationExchangeRequirements4][3][NumberOfIssuesResolved]</v>
      </c>
    </row>
    <row r="467" spans="1:15" x14ac:dyDescent="0.3">
      <c r="A467" t="s">
        <v>2277</v>
      </c>
      <c r="B467" t="s">
        <v>1961</v>
      </c>
      <c r="C467" t="s">
        <v>1971</v>
      </c>
      <c r="D467">
        <v>3</v>
      </c>
      <c r="E467" t="s">
        <v>1447</v>
      </c>
      <c r="F467" t="s">
        <v>1974</v>
      </c>
      <c r="G467" t="s">
        <v>1748</v>
      </c>
      <c r="H467" t="s">
        <v>2279</v>
      </c>
      <c r="I467">
        <v>4</v>
      </c>
      <c r="J467" t="s">
        <v>2279</v>
      </c>
      <c r="K467" t="s">
        <v>2279</v>
      </c>
      <c r="L467" t="s">
        <v>2279</v>
      </c>
      <c r="M467" t="s">
        <v>2279</v>
      </c>
      <c r="N467" t="s">
        <v>2279</v>
      </c>
      <c r="O467" s="190" t="str">
        <f t="shared" si="7"/>
        <v>[S06_ApplicationInformationExchangeRequirements4][3][NumberOfPriorIssuesResolved]</v>
      </c>
    </row>
    <row r="468" spans="1:15" x14ac:dyDescent="0.3">
      <c r="A468" t="s">
        <v>2277</v>
      </c>
      <c r="B468" t="s">
        <v>1975</v>
      </c>
      <c r="C468" t="s">
        <v>1976</v>
      </c>
      <c r="D468">
        <v>1</v>
      </c>
      <c r="E468" t="s">
        <v>1447</v>
      </c>
      <c r="F468" t="s">
        <v>1868</v>
      </c>
      <c r="G468" t="s">
        <v>1741</v>
      </c>
      <c r="H468" t="s">
        <v>2324</v>
      </c>
      <c r="I468" t="s">
        <v>2279</v>
      </c>
      <c r="J468" t="s">
        <v>2279</v>
      </c>
      <c r="K468" t="s">
        <v>2279</v>
      </c>
      <c r="L468" t="s">
        <v>2279</v>
      </c>
      <c r="M468" t="s">
        <v>2279</v>
      </c>
      <c r="N468" t="s">
        <v>2279</v>
      </c>
      <c r="O468" s="190" t="str">
        <f t="shared" si="7"/>
        <v>[S06_InstallationsConservativeEstimates][1][InstallationID]</v>
      </c>
    </row>
    <row r="469" spans="1:15" x14ac:dyDescent="0.3">
      <c r="A469" t="s">
        <v>2277</v>
      </c>
      <c r="B469" t="s">
        <v>1975</v>
      </c>
      <c r="C469" t="s">
        <v>1976</v>
      </c>
      <c r="D469">
        <v>2</v>
      </c>
      <c r="E469" t="s">
        <v>1447</v>
      </c>
      <c r="F469" t="s">
        <v>1868</v>
      </c>
      <c r="G469" t="s">
        <v>1741</v>
      </c>
      <c r="H469" t="s">
        <v>2325</v>
      </c>
      <c r="I469" t="s">
        <v>2279</v>
      </c>
      <c r="J469" t="s">
        <v>2279</v>
      </c>
      <c r="K469" t="s">
        <v>2279</v>
      </c>
      <c r="L469" t="s">
        <v>2279</v>
      </c>
      <c r="M469" t="s">
        <v>2279</v>
      </c>
      <c r="N469" t="s">
        <v>2279</v>
      </c>
      <c r="O469" s="190" t="str">
        <f t="shared" si="7"/>
        <v>[S06_InstallationsConservativeEstimates][2][InstallationID]</v>
      </c>
    </row>
    <row r="470" spans="1:15" x14ac:dyDescent="0.3">
      <c r="A470" t="s">
        <v>2277</v>
      </c>
      <c r="B470" t="s">
        <v>1975</v>
      </c>
      <c r="C470" t="s">
        <v>1976</v>
      </c>
      <c r="D470">
        <v>3</v>
      </c>
      <c r="E470" t="s">
        <v>1447</v>
      </c>
      <c r="F470" t="s">
        <v>1868</v>
      </c>
      <c r="G470" t="s">
        <v>1741</v>
      </c>
      <c r="H470" t="s">
        <v>2326</v>
      </c>
      <c r="I470" t="s">
        <v>2279</v>
      </c>
      <c r="J470" t="s">
        <v>2279</v>
      </c>
      <c r="K470" t="s">
        <v>2279</v>
      </c>
      <c r="L470" t="s">
        <v>2279</v>
      </c>
      <c r="M470" t="s">
        <v>2279</v>
      </c>
      <c r="N470" t="s">
        <v>2279</v>
      </c>
      <c r="O470" s="190" t="str">
        <f t="shared" si="7"/>
        <v>[S06_InstallationsConservativeEstimates][3][InstallationID]</v>
      </c>
    </row>
    <row r="471" spans="1:15" x14ac:dyDescent="0.3">
      <c r="A471" t="s">
        <v>2277</v>
      </c>
      <c r="B471" t="s">
        <v>1975</v>
      </c>
      <c r="C471" t="s">
        <v>1976</v>
      </c>
      <c r="D471">
        <v>4</v>
      </c>
      <c r="E471" t="s">
        <v>1447</v>
      </c>
      <c r="F471" t="s">
        <v>1868</v>
      </c>
      <c r="G471" t="s">
        <v>1741</v>
      </c>
      <c r="H471" t="s">
        <v>2327</v>
      </c>
      <c r="I471" t="s">
        <v>2279</v>
      </c>
      <c r="J471" t="s">
        <v>2279</v>
      </c>
      <c r="K471" t="s">
        <v>2279</v>
      </c>
      <c r="L471" t="s">
        <v>2279</v>
      </c>
      <c r="M471" t="s">
        <v>2279</v>
      </c>
      <c r="N471" t="s">
        <v>2279</v>
      </c>
      <c r="O471" s="190" t="str">
        <f t="shared" si="7"/>
        <v>[S06_InstallationsConservativeEstimates][4][InstallationID]</v>
      </c>
    </row>
    <row r="472" spans="1:15" x14ac:dyDescent="0.3">
      <c r="A472" t="s">
        <v>2277</v>
      </c>
      <c r="B472" t="s">
        <v>1975</v>
      </c>
      <c r="C472" t="s">
        <v>1976</v>
      </c>
      <c r="D472">
        <v>5</v>
      </c>
      <c r="E472" t="s">
        <v>1447</v>
      </c>
      <c r="F472" t="s">
        <v>1868</v>
      </c>
      <c r="G472" t="s">
        <v>1741</v>
      </c>
      <c r="H472" t="s">
        <v>2328</v>
      </c>
      <c r="I472" t="s">
        <v>2279</v>
      </c>
      <c r="J472" t="s">
        <v>2279</v>
      </c>
      <c r="K472" t="s">
        <v>2279</v>
      </c>
      <c r="L472" t="s">
        <v>2279</v>
      </c>
      <c r="M472" t="s">
        <v>2279</v>
      </c>
      <c r="N472" t="s">
        <v>2279</v>
      </c>
      <c r="O472" s="190" t="str">
        <f t="shared" si="7"/>
        <v>[S06_InstallationsConservativeEstimates][5][InstallationID]</v>
      </c>
    </row>
    <row r="473" spans="1:15" x14ac:dyDescent="0.3">
      <c r="A473" t="s">
        <v>2277</v>
      </c>
      <c r="B473" t="s">
        <v>1975</v>
      </c>
      <c r="C473" t="s">
        <v>1976</v>
      </c>
      <c r="D473">
        <v>6</v>
      </c>
      <c r="E473" t="s">
        <v>1447</v>
      </c>
      <c r="F473" t="s">
        <v>1868</v>
      </c>
      <c r="G473" t="s">
        <v>1741</v>
      </c>
      <c r="H473" t="s">
        <v>2329</v>
      </c>
      <c r="I473" t="s">
        <v>2279</v>
      </c>
      <c r="J473" t="s">
        <v>2279</v>
      </c>
      <c r="K473" t="s">
        <v>2279</v>
      </c>
      <c r="L473" t="s">
        <v>2279</v>
      </c>
      <c r="M473" t="s">
        <v>2279</v>
      </c>
      <c r="N473" t="s">
        <v>2279</v>
      </c>
      <c r="O473" s="190" t="str">
        <f t="shared" si="7"/>
        <v>[S06_InstallationsConservativeEstimates][6][InstallationID]</v>
      </c>
    </row>
    <row r="474" spans="1:15" x14ac:dyDescent="0.3">
      <c r="A474" t="s">
        <v>2277</v>
      </c>
      <c r="B474" t="s">
        <v>1975</v>
      </c>
      <c r="C474" t="s">
        <v>1976</v>
      </c>
      <c r="D474">
        <v>7</v>
      </c>
      <c r="E474" t="s">
        <v>1447</v>
      </c>
      <c r="F474" t="s">
        <v>1868</v>
      </c>
      <c r="G474" t="s">
        <v>1741</v>
      </c>
      <c r="H474" t="s">
        <v>2330</v>
      </c>
      <c r="I474" t="s">
        <v>2279</v>
      </c>
      <c r="J474" t="s">
        <v>2279</v>
      </c>
      <c r="K474" t="s">
        <v>2279</v>
      </c>
      <c r="L474" t="s">
        <v>2279</v>
      </c>
      <c r="M474" t="s">
        <v>2279</v>
      </c>
      <c r="N474" t="s">
        <v>2279</v>
      </c>
      <c r="O474" s="190" t="str">
        <f t="shared" si="7"/>
        <v>[S06_InstallationsConservativeEstimates][7][InstallationID]</v>
      </c>
    </row>
    <row r="475" spans="1:15" x14ac:dyDescent="0.3">
      <c r="A475" t="s">
        <v>2277</v>
      </c>
      <c r="B475" t="s">
        <v>1975</v>
      </c>
      <c r="C475" t="s">
        <v>1976</v>
      </c>
      <c r="D475">
        <v>8</v>
      </c>
      <c r="E475" t="s">
        <v>1447</v>
      </c>
      <c r="F475" t="s">
        <v>1868</v>
      </c>
      <c r="G475" t="s">
        <v>1741</v>
      </c>
      <c r="H475" t="s">
        <v>2331</v>
      </c>
      <c r="I475" t="s">
        <v>2279</v>
      </c>
      <c r="J475" t="s">
        <v>2279</v>
      </c>
      <c r="K475" t="s">
        <v>2279</v>
      </c>
      <c r="L475" t="s">
        <v>2279</v>
      </c>
      <c r="M475" t="s">
        <v>2279</v>
      </c>
      <c r="N475" t="s">
        <v>2279</v>
      </c>
      <c r="O475" s="190" t="str">
        <f t="shared" si="7"/>
        <v>[S06_InstallationsConservativeEstimates][8][InstallationID]</v>
      </c>
    </row>
    <row r="476" spans="1:15" x14ac:dyDescent="0.3">
      <c r="A476" t="s">
        <v>2277</v>
      </c>
      <c r="B476" t="s">
        <v>1975</v>
      </c>
      <c r="C476" t="s">
        <v>1976</v>
      </c>
      <c r="D476">
        <v>1</v>
      </c>
      <c r="E476" t="s">
        <v>1447</v>
      </c>
      <c r="F476" t="s">
        <v>1977</v>
      </c>
      <c r="G476" t="s">
        <v>1806</v>
      </c>
      <c r="H476" t="s">
        <v>2279</v>
      </c>
      <c r="I476" t="s">
        <v>2279</v>
      </c>
      <c r="J476">
        <v>0</v>
      </c>
      <c r="K476" t="s">
        <v>2279</v>
      </c>
      <c r="L476" t="s">
        <v>2279</v>
      </c>
      <c r="M476" t="s">
        <v>2279</v>
      </c>
      <c r="N476" t="s">
        <v>2279</v>
      </c>
      <c r="O476" s="190" t="str">
        <f t="shared" si="7"/>
        <v>[S06_InstallationsConservativeEstimates][1][InstallationAnnualEmissionstCO2e]</v>
      </c>
    </row>
    <row r="477" spans="1:15" x14ac:dyDescent="0.3">
      <c r="A477" t="s">
        <v>2277</v>
      </c>
      <c r="B477" t="s">
        <v>1975</v>
      </c>
      <c r="C477" t="s">
        <v>1976</v>
      </c>
      <c r="D477">
        <v>2</v>
      </c>
      <c r="E477" t="s">
        <v>1447</v>
      </c>
      <c r="F477" t="s">
        <v>1977</v>
      </c>
      <c r="G477" t="s">
        <v>1806</v>
      </c>
      <c r="H477" t="s">
        <v>2279</v>
      </c>
      <c r="I477" t="s">
        <v>2279</v>
      </c>
      <c r="J477">
        <v>0</v>
      </c>
      <c r="K477" t="s">
        <v>2279</v>
      </c>
      <c r="L477" t="s">
        <v>2279</v>
      </c>
      <c r="M477" t="s">
        <v>2279</v>
      </c>
      <c r="N477" t="s">
        <v>2279</v>
      </c>
      <c r="O477" s="190" t="str">
        <f t="shared" si="7"/>
        <v>[S06_InstallationsConservativeEstimates][2][InstallationAnnualEmissionstCO2e]</v>
      </c>
    </row>
    <row r="478" spans="1:15" x14ac:dyDescent="0.3">
      <c r="A478" t="s">
        <v>2277</v>
      </c>
      <c r="B478" t="s">
        <v>1975</v>
      </c>
      <c r="C478" t="s">
        <v>1976</v>
      </c>
      <c r="D478">
        <v>3</v>
      </c>
      <c r="E478" t="s">
        <v>1447</v>
      </c>
      <c r="F478" t="s">
        <v>1977</v>
      </c>
      <c r="G478" t="s">
        <v>1806</v>
      </c>
      <c r="H478" t="s">
        <v>2279</v>
      </c>
      <c r="I478" t="s">
        <v>2279</v>
      </c>
      <c r="J478">
        <v>0</v>
      </c>
      <c r="K478" t="s">
        <v>2279</v>
      </c>
      <c r="L478" t="s">
        <v>2279</v>
      </c>
      <c r="M478" t="s">
        <v>2279</v>
      </c>
      <c r="N478" t="s">
        <v>2279</v>
      </c>
      <c r="O478" s="190" t="str">
        <f t="shared" si="7"/>
        <v>[S06_InstallationsConservativeEstimates][3][InstallationAnnualEmissionstCO2e]</v>
      </c>
    </row>
    <row r="479" spans="1:15" x14ac:dyDescent="0.3">
      <c r="A479" t="s">
        <v>2277</v>
      </c>
      <c r="B479" t="s">
        <v>1975</v>
      </c>
      <c r="C479" t="s">
        <v>1976</v>
      </c>
      <c r="D479">
        <v>4</v>
      </c>
      <c r="E479" t="s">
        <v>1447</v>
      </c>
      <c r="F479" t="s">
        <v>1977</v>
      </c>
      <c r="G479" t="s">
        <v>1806</v>
      </c>
      <c r="H479" t="s">
        <v>2279</v>
      </c>
      <c r="I479" t="s">
        <v>2279</v>
      </c>
      <c r="J479">
        <v>0</v>
      </c>
      <c r="K479" t="s">
        <v>2279</v>
      </c>
      <c r="L479" t="s">
        <v>2279</v>
      </c>
      <c r="M479" t="s">
        <v>2279</v>
      </c>
      <c r="N479" t="s">
        <v>2279</v>
      </c>
      <c r="O479" s="190" t="str">
        <f t="shared" si="7"/>
        <v>[S06_InstallationsConservativeEstimates][4][InstallationAnnualEmissionstCO2e]</v>
      </c>
    </row>
    <row r="480" spans="1:15" x14ac:dyDescent="0.3">
      <c r="A480" t="s">
        <v>2277</v>
      </c>
      <c r="B480" t="s">
        <v>1975</v>
      </c>
      <c r="C480" t="s">
        <v>1976</v>
      </c>
      <c r="D480">
        <v>5</v>
      </c>
      <c r="E480" t="s">
        <v>1447</v>
      </c>
      <c r="F480" t="s">
        <v>1977</v>
      </c>
      <c r="G480" t="s">
        <v>1806</v>
      </c>
      <c r="H480" t="s">
        <v>2279</v>
      </c>
      <c r="I480" t="s">
        <v>2279</v>
      </c>
      <c r="J480">
        <v>3960.1394959999998</v>
      </c>
      <c r="K480" t="s">
        <v>2279</v>
      </c>
      <c r="L480" t="s">
        <v>2279</v>
      </c>
      <c r="M480" t="s">
        <v>2279</v>
      </c>
      <c r="N480" t="s">
        <v>2279</v>
      </c>
      <c r="O480" s="190" t="str">
        <f t="shared" si="7"/>
        <v>[S06_InstallationsConservativeEstimates][5][InstallationAnnualEmissionstCO2e]</v>
      </c>
    </row>
    <row r="481" spans="1:15" x14ac:dyDescent="0.3">
      <c r="A481" t="s">
        <v>2277</v>
      </c>
      <c r="B481" t="s">
        <v>1975</v>
      </c>
      <c r="C481" t="s">
        <v>1976</v>
      </c>
      <c r="D481">
        <v>6</v>
      </c>
      <c r="E481" t="s">
        <v>1447</v>
      </c>
      <c r="F481" t="s">
        <v>1977</v>
      </c>
      <c r="G481" t="s">
        <v>1806</v>
      </c>
      <c r="H481" t="s">
        <v>2279</v>
      </c>
      <c r="I481" t="s">
        <v>2279</v>
      </c>
      <c r="J481">
        <v>245</v>
      </c>
      <c r="K481" t="s">
        <v>2279</v>
      </c>
      <c r="L481" t="s">
        <v>2279</v>
      </c>
      <c r="M481" t="s">
        <v>2279</v>
      </c>
      <c r="N481" t="s">
        <v>2279</v>
      </c>
      <c r="O481" s="190" t="str">
        <f t="shared" si="7"/>
        <v>[S06_InstallationsConservativeEstimates][6][InstallationAnnualEmissionstCO2e]</v>
      </c>
    </row>
    <row r="482" spans="1:15" x14ac:dyDescent="0.3">
      <c r="A482" t="s">
        <v>2277</v>
      </c>
      <c r="B482" t="s">
        <v>1975</v>
      </c>
      <c r="C482" t="s">
        <v>1976</v>
      </c>
      <c r="D482">
        <v>7</v>
      </c>
      <c r="E482" t="s">
        <v>1447</v>
      </c>
      <c r="F482" t="s">
        <v>1977</v>
      </c>
      <c r="G482" t="s">
        <v>1806</v>
      </c>
      <c r="H482" t="s">
        <v>2279</v>
      </c>
      <c r="I482" t="s">
        <v>2279</v>
      </c>
      <c r="J482">
        <v>0</v>
      </c>
      <c r="K482" t="s">
        <v>2279</v>
      </c>
      <c r="L482" t="s">
        <v>2279</v>
      </c>
      <c r="M482" t="s">
        <v>2279</v>
      </c>
      <c r="N482" t="s">
        <v>2279</v>
      </c>
      <c r="O482" s="190" t="str">
        <f t="shared" si="7"/>
        <v>[S06_InstallationsConservativeEstimates][7][InstallationAnnualEmissionstCO2e]</v>
      </c>
    </row>
    <row r="483" spans="1:15" x14ac:dyDescent="0.3">
      <c r="A483" t="s">
        <v>2277</v>
      </c>
      <c r="B483" t="s">
        <v>1975</v>
      </c>
      <c r="C483" t="s">
        <v>1976</v>
      </c>
      <c r="D483">
        <v>8</v>
      </c>
      <c r="E483" t="s">
        <v>1447</v>
      </c>
      <c r="F483" t="s">
        <v>1977</v>
      </c>
      <c r="G483" t="s">
        <v>1806</v>
      </c>
      <c r="H483" t="s">
        <v>2279</v>
      </c>
      <c r="I483" t="s">
        <v>2279</v>
      </c>
      <c r="J483">
        <v>0</v>
      </c>
      <c r="K483" t="s">
        <v>2279</v>
      </c>
      <c r="L483" t="s">
        <v>2279</v>
      </c>
      <c r="M483" t="s">
        <v>2279</v>
      </c>
      <c r="N483" t="s">
        <v>2279</v>
      </c>
      <c r="O483" s="190" t="str">
        <f t="shared" si="7"/>
        <v>[S06_InstallationsConservativeEstimates][8][InstallationAnnualEmissionstCO2e]</v>
      </c>
    </row>
    <row r="484" spans="1:15" x14ac:dyDescent="0.3">
      <c r="A484" t="s">
        <v>2277</v>
      </c>
      <c r="B484" t="s">
        <v>1975</v>
      </c>
      <c r="C484" t="s">
        <v>1976</v>
      </c>
      <c r="D484">
        <v>1</v>
      </c>
      <c r="E484" t="s">
        <v>1447</v>
      </c>
      <c r="F484" t="s">
        <v>1978</v>
      </c>
      <c r="G484" t="s">
        <v>1737</v>
      </c>
      <c r="H484" t="s">
        <v>2279</v>
      </c>
      <c r="I484" t="s">
        <v>2279</v>
      </c>
      <c r="J484" t="s">
        <v>2279</v>
      </c>
      <c r="K484" t="s">
        <v>2279</v>
      </c>
      <c r="L484" t="s">
        <v>1437</v>
      </c>
      <c r="M484" t="s">
        <v>2279</v>
      </c>
      <c r="N484" t="s">
        <v>2279</v>
      </c>
      <c r="O484" s="190" t="str">
        <f t="shared" si="7"/>
        <v>[S06_InstallationsConservativeEstimates][1][ReasonConservativeEstimate]</v>
      </c>
    </row>
    <row r="485" spans="1:15" x14ac:dyDescent="0.3">
      <c r="A485" t="s">
        <v>2277</v>
      </c>
      <c r="B485" t="s">
        <v>1975</v>
      </c>
      <c r="C485" t="s">
        <v>1976</v>
      </c>
      <c r="D485">
        <v>2</v>
      </c>
      <c r="E485" t="s">
        <v>1447</v>
      </c>
      <c r="F485" t="s">
        <v>1978</v>
      </c>
      <c r="G485" t="s">
        <v>1737</v>
      </c>
      <c r="H485" t="s">
        <v>2279</v>
      </c>
      <c r="I485" t="s">
        <v>2279</v>
      </c>
      <c r="J485" t="s">
        <v>2279</v>
      </c>
      <c r="K485" t="s">
        <v>2279</v>
      </c>
      <c r="L485" t="s">
        <v>1437</v>
      </c>
      <c r="M485" t="s">
        <v>2279</v>
      </c>
      <c r="N485" t="s">
        <v>2279</v>
      </c>
      <c r="O485" s="190" t="str">
        <f t="shared" si="7"/>
        <v>[S06_InstallationsConservativeEstimates][2][ReasonConservativeEstimate]</v>
      </c>
    </row>
    <row r="486" spans="1:15" x14ac:dyDescent="0.3">
      <c r="A486" t="s">
        <v>2277</v>
      </c>
      <c r="B486" t="s">
        <v>1975</v>
      </c>
      <c r="C486" t="s">
        <v>1976</v>
      </c>
      <c r="D486">
        <v>3</v>
      </c>
      <c r="E486" t="s">
        <v>1447</v>
      </c>
      <c r="F486" t="s">
        <v>1978</v>
      </c>
      <c r="G486" t="s">
        <v>1737</v>
      </c>
      <c r="H486" t="s">
        <v>2279</v>
      </c>
      <c r="I486" t="s">
        <v>2279</v>
      </c>
      <c r="J486" t="s">
        <v>2279</v>
      </c>
      <c r="K486" t="s">
        <v>2279</v>
      </c>
      <c r="L486" t="s">
        <v>1437</v>
      </c>
      <c r="M486" t="s">
        <v>2279</v>
      </c>
      <c r="N486" t="s">
        <v>2279</v>
      </c>
      <c r="O486" s="190" t="str">
        <f t="shared" si="7"/>
        <v>[S06_InstallationsConservativeEstimates][3][ReasonConservativeEstimate]</v>
      </c>
    </row>
    <row r="487" spans="1:15" x14ac:dyDescent="0.3">
      <c r="A487" t="s">
        <v>2277</v>
      </c>
      <c r="B487" t="s">
        <v>1975</v>
      </c>
      <c r="C487" t="s">
        <v>1976</v>
      </c>
      <c r="D487">
        <v>4</v>
      </c>
      <c r="E487" t="s">
        <v>1447</v>
      </c>
      <c r="F487" t="s">
        <v>1978</v>
      </c>
      <c r="G487" t="s">
        <v>1737</v>
      </c>
      <c r="H487" t="s">
        <v>2279</v>
      </c>
      <c r="I487" t="s">
        <v>2279</v>
      </c>
      <c r="J487" t="s">
        <v>2279</v>
      </c>
      <c r="K487" t="s">
        <v>2279</v>
      </c>
      <c r="L487" t="s">
        <v>1437</v>
      </c>
      <c r="M487" t="s">
        <v>2279</v>
      </c>
      <c r="N487" t="s">
        <v>2279</v>
      </c>
      <c r="O487" s="190" t="str">
        <f t="shared" si="7"/>
        <v>[S06_InstallationsConservativeEstimates][4][ReasonConservativeEstimate]</v>
      </c>
    </row>
    <row r="488" spans="1:15" x14ac:dyDescent="0.3">
      <c r="A488" t="s">
        <v>2277</v>
      </c>
      <c r="B488" t="s">
        <v>1975</v>
      </c>
      <c r="C488" t="s">
        <v>1976</v>
      </c>
      <c r="D488">
        <v>5</v>
      </c>
      <c r="E488" t="s">
        <v>1447</v>
      </c>
      <c r="F488" t="s">
        <v>1978</v>
      </c>
      <c r="G488" t="s">
        <v>1737</v>
      </c>
      <c r="H488" t="s">
        <v>2279</v>
      </c>
      <c r="I488" t="s">
        <v>2279</v>
      </c>
      <c r="J488" t="s">
        <v>2279</v>
      </c>
      <c r="K488" t="s">
        <v>2279</v>
      </c>
      <c r="L488" t="s">
        <v>1437</v>
      </c>
      <c r="M488" t="s">
        <v>2279</v>
      </c>
      <c r="N488" t="s">
        <v>2279</v>
      </c>
      <c r="O488" s="190" t="str">
        <f t="shared" si="7"/>
        <v>[S06_InstallationsConservativeEstimates][5][ReasonConservativeEstimate]</v>
      </c>
    </row>
    <row r="489" spans="1:15" x14ac:dyDescent="0.3">
      <c r="A489" t="s">
        <v>2277</v>
      </c>
      <c r="B489" t="s">
        <v>1975</v>
      </c>
      <c r="C489" t="s">
        <v>1976</v>
      </c>
      <c r="D489">
        <v>6</v>
      </c>
      <c r="E489" t="s">
        <v>1447</v>
      </c>
      <c r="F489" t="s">
        <v>1978</v>
      </c>
      <c r="G489" t="s">
        <v>1737</v>
      </c>
      <c r="H489" t="s">
        <v>2279</v>
      </c>
      <c r="I489" t="s">
        <v>2279</v>
      </c>
      <c r="J489" t="s">
        <v>2279</v>
      </c>
      <c r="K489" t="s">
        <v>2279</v>
      </c>
      <c r="L489" t="s">
        <v>1437</v>
      </c>
      <c r="M489" t="s">
        <v>2279</v>
      </c>
      <c r="N489" t="s">
        <v>2279</v>
      </c>
      <c r="O489" s="190" t="str">
        <f t="shared" si="7"/>
        <v>[S06_InstallationsConservativeEstimates][6][ReasonConservativeEstimate]</v>
      </c>
    </row>
    <row r="490" spans="1:15" x14ac:dyDescent="0.3">
      <c r="A490" t="s">
        <v>2277</v>
      </c>
      <c r="B490" t="s">
        <v>1975</v>
      </c>
      <c r="C490" t="s">
        <v>1976</v>
      </c>
      <c r="D490">
        <v>7</v>
      </c>
      <c r="E490" t="s">
        <v>1447</v>
      </c>
      <c r="F490" t="s">
        <v>1978</v>
      </c>
      <c r="G490" t="s">
        <v>1737</v>
      </c>
      <c r="H490" t="s">
        <v>2279</v>
      </c>
      <c r="I490" t="s">
        <v>2279</v>
      </c>
      <c r="J490" t="s">
        <v>2279</v>
      </c>
      <c r="K490" t="s">
        <v>2279</v>
      </c>
      <c r="L490" t="s">
        <v>1437</v>
      </c>
      <c r="M490" t="s">
        <v>2279</v>
      </c>
      <c r="N490" t="s">
        <v>2279</v>
      </c>
      <c r="O490" s="190" t="str">
        <f t="shared" si="7"/>
        <v>[S06_InstallationsConservativeEstimates][7][ReasonConservativeEstimate]</v>
      </c>
    </row>
    <row r="491" spans="1:15" x14ac:dyDescent="0.3">
      <c r="A491" t="s">
        <v>2277</v>
      </c>
      <c r="B491" t="s">
        <v>1975</v>
      </c>
      <c r="C491" t="s">
        <v>1976</v>
      </c>
      <c r="D491">
        <v>8</v>
      </c>
      <c r="E491" t="s">
        <v>1447</v>
      </c>
      <c r="F491" t="s">
        <v>1978</v>
      </c>
      <c r="G491" t="s">
        <v>1737</v>
      </c>
      <c r="H491" t="s">
        <v>2279</v>
      </c>
      <c r="I491" t="s">
        <v>2279</v>
      </c>
      <c r="J491" t="s">
        <v>2279</v>
      </c>
      <c r="K491" t="s">
        <v>2279</v>
      </c>
      <c r="L491" t="s">
        <v>1437</v>
      </c>
      <c r="M491" t="s">
        <v>2279</v>
      </c>
      <c r="N491" t="s">
        <v>2279</v>
      </c>
      <c r="O491" s="190" t="str">
        <f t="shared" si="7"/>
        <v>[S06_InstallationsConservativeEstimates][8][ReasonConservativeEstimate]</v>
      </c>
    </row>
    <row r="492" spans="1:15" x14ac:dyDescent="0.3">
      <c r="A492" t="s">
        <v>2277</v>
      </c>
      <c r="B492" t="s">
        <v>1975</v>
      </c>
      <c r="C492" t="s">
        <v>1976</v>
      </c>
      <c r="D492">
        <v>1</v>
      </c>
      <c r="E492" t="s">
        <v>1447</v>
      </c>
      <c r="F492" t="s">
        <v>1979</v>
      </c>
      <c r="G492" t="s">
        <v>1806</v>
      </c>
      <c r="H492" t="s">
        <v>2279</v>
      </c>
      <c r="I492" t="s">
        <v>2279</v>
      </c>
      <c r="J492">
        <v>0</v>
      </c>
      <c r="K492" t="s">
        <v>2279</v>
      </c>
      <c r="L492" t="s">
        <v>2279</v>
      </c>
      <c r="M492" t="s">
        <v>2279</v>
      </c>
      <c r="N492" t="s">
        <v>2279</v>
      </c>
      <c r="O492" s="190" t="str">
        <f t="shared" si="7"/>
        <v>[S06_InstallationsConservativeEstimates][1][InstallationConservativeShare]</v>
      </c>
    </row>
    <row r="493" spans="1:15" x14ac:dyDescent="0.3">
      <c r="A493" t="s">
        <v>2277</v>
      </c>
      <c r="B493" t="s">
        <v>1975</v>
      </c>
      <c r="C493" t="s">
        <v>1976</v>
      </c>
      <c r="D493">
        <v>2</v>
      </c>
      <c r="E493" t="s">
        <v>1447</v>
      </c>
      <c r="F493" t="s">
        <v>1979</v>
      </c>
      <c r="G493" t="s">
        <v>1806</v>
      </c>
      <c r="H493" t="s">
        <v>2279</v>
      </c>
      <c r="I493" t="s">
        <v>2279</v>
      </c>
      <c r="J493">
        <v>0</v>
      </c>
      <c r="K493" t="s">
        <v>2279</v>
      </c>
      <c r="L493" t="s">
        <v>2279</v>
      </c>
      <c r="M493" t="s">
        <v>2279</v>
      </c>
      <c r="N493" t="s">
        <v>2279</v>
      </c>
      <c r="O493" s="190" t="str">
        <f t="shared" si="7"/>
        <v>[S06_InstallationsConservativeEstimates][2][InstallationConservativeShare]</v>
      </c>
    </row>
    <row r="494" spans="1:15" x14ac:dyDescent="0.3">
      <c r="A494" t="s">
        <v>2277</v>
      </c>
      <c r="B494" t="s">
        <v>1975</v>
      </c>
      <c r="C494" t="s">
        <v>1976</v>
      </c>
      <c r="D494">
        <v>3</v>
      </c>
      <c r="E494" t="s">
        <v>1447</v>
      </c>
      <c r="F494" t="s">
        <v>1979</v>
      </c>
      <c r="G494" t="s">
        <v>1806</v>
      </c>
      <c r="H494" t="s">
        <v>2279</v>
      </c>
      <c r="I494" t="s">
        <v>2279</v>
      </c>
      <c r="J494">
        <v>0</v>
      </c>
      <c r="K494" t="s">
        <v>2279</v>
      </c>
      <c r="L494" t="s">
        <v>2279</v>
      </c>
      <c r="M494" t="s">
        <v>2279</v>
      </c>
      <c r="N494" t="s">
        <v>2279</v>
      </c>
      <c r="O494" s="190" t="str">
        <f t="shared" si="7"/>
        <v>[S06_InstallationsConservativeEstimates][3][InstallationConservativeShare]</v>
      </c>
    </row>
    <row r="495" spans="1:15" x14ac:dyDescent="0.3">
      <c r="A495" t="s">
        <v>2277</v>
      </c>
      <c r="B495" t="s">
        <v>1975</v>
      </c>
      <c r="C495" t="s">
        <v>1976</v>
      </c>
      <c r="D495">
        <v>4</v>
      </c>
      <c r="E495" t="s">
        <v>1447</v>
      </c>
      <c r="F495" t="s">
        <v>1979</v>
      </c>
      <c r="G495" t="s">
        <v>1806</v>
      </c>
      <c r="H495" t="s">
        <v>2279</v>
      </c>
      <c r="I495" t="s">
        <v>2279</v>
      </c>
      <c r="J495">
        <v>0</v>
      </c>
      <c r="K495" t="s">
        <v>2279</v>
      </c>
      <c r="L495" t="s">
        <v>2279</v>
      </c>
      <c r="M495" t="s">
        <v>2279</v>
      </c>
      <c r="N495" t="s">
        <v>2279</v>
      </c>
      <c r="O495" s="190" t="str">
        <f t="shared" si="7"/>
        <v>[S06_InstallationsConservativeEstimates][4][InstallationConservativeShare]</v>
      </c>
    </row>
    <row r="496" spans="1:15" x14ac:dyDescent="0.3">
      <c r="A496" t="s">
        <v>2277</v>
      </c>
      <c r="B496" t="s">
        <v>1975</v>
      </c>
      <c r="C496" t="s">
        <v>1976</v>
      </c>
      <c r="D496">
        <v>5</v>
      </c>
      <c r="E496" t="s">
        <v>1447</v>
      </c>
      <c r="F496" t="s">
        <v>1979</v>
      </c>
      <c r="G496" t="s">
        <v>1806</v>
      </c>
      <c r="H496" t="s">
        <v>2279</v>
      </c>
      <c r="I496" t="s">
        <v>2279</v>
      </c>
      <c r="J496">
        <v>0.9</v>
      </c>
      <c r="K496" t="s">
        <v>2279</v>
      </c>
      <c r="L496" t="s">
        <v>2279</v>
      </c>
      <c r="M496" t="s">
        <v>2279</v>
      </c>
      <c r="N496" t="s">
        <v>2279</v>
      </c>
      <c r="O496" s="190" t="str">
        <f t="shared" si="7"/>
        <v>[S06_InstallationsConservativeEstimates][5][InstallationConservativeShare]</v>
      </c>
    </row>
    <row r="497" spans="1:15" x14ac:dyDescent="0.3">
      <c r="A497" t="s">
        <v>2277</v>
      </c>
      <c r="B497" t="s">
        <v>1975</v>
      </c>
      <c r="C497" t="s">
        <v>1976</v>
      </c>
      <c r="D497">
        <v>6</v>
      </c>
      <c r="E497" t="s">
        <v>1447</v>
      </c>
      <c r="F497" t="s">
        <v>1979</v>
      </c>
      <c r="G497" t="s">
        <v>1806</v>
      </c>
      <c r="H497" t="s">
        <v>2279</v>
      </c>
      <c r="I497" t="s">
        <v>2279</v>
      </c>
      <c r="J497">
        <v>0.1</v>
      </c>
      <c r="K497" t="s">
        <v>2279</v>
      </c>
      <c r="L497" t="s">
        <v>2279</v>
      </c>
      <c r="M497" t="s">
        <v>2279</v>
      </c>
      <c r="N497" t="s">
        <v>2279</v>
      </c>
      <c r="O497" s="190" t="str">
        <f t="shared" si="7"/>
        <v>[S06_InstallationsConservativeEstimates][6][InstallationConservativeShare]</v>
      </c>
    </row>
    <row r="498" spans="1:15" x14ac:dyDescent="0.3">
      <c r="A498" t="s">
        <v>2277</v>
      </c>
      <c r="B498" t="s">
        <v>1975</v>
      </c>
      <c r="C498" t="s">
        <v>1976</v>
      </c>
      <c r="D498">
        <v>7</v>
      </c>
      <c r="E498" t="s">
        <v>1447</v>
      </c>
      <c r="F498" t="s">
        <v>1979</v>
      </c>
      <c r="G498" t="s">
        <v>1806</v>
      </c>
      <c r="H498" t="s">
        <v>2279</v>
      </c>
      <c r="I498" t="s">
        <v>2279</v>
      </c>
      <c r="J498">
        <v>0</v>
      </c>
      <c r="K498" t="s">
        <v>2279</v>
      </c>
      <c r="L498" t="s">
        <v>2279</v>
      </c>
      <c r="M498" t="s">
        <v>2279</v>
      </c>
      <c r="N498" t="s">
        <v>2279</v>
      </c>
      <c r="O498" s="190" t="str">
        <f t="shared" si="7"/>
        <v>[S06_InstallationsConservativeEstimates][7][InstallationConservativeShare]</v>
      </c>
    </row>
    <row r="499" spans="1:15" x14ac:dyDescent="0.3">
      <c r="A499" t="s">
        <v>2277</v>
      </c>
      <c r="B499" t="s">
        <v>1975</v>
      </c>
      <c r="C499" t="s">
        <v>1976</v>
      </c>
      <c r="D499">
        <v>8</v>
      </c>
      <c r="E499" t="s">
        <v>1447</v>
      </c>
      <c r="F499" t="s">
        <v>1979</v>
      </c>
      <c r="G499" t="s">
        <v>1806</v>
      </c>
      <c r="H499" t="s">
        <v>2279</v>
      </c>
      <c r="I499" t="s">
        <v>2279</v>
      </c>
      <c r="J499">
        <v>0</v>
      </c>
      <c r="K499" t="s">
        <v>2279</v>
      </c>
      <c r="L499" t="s">
        <v>2279</v>
      </c>
      <c r="M499" t="s">
        <v>2279</v>
      </c>
      <c r="N499" t="s">
        <v>2279</v>
      </c>
      <c r="O499" s="190" t="str">
        <f t="shared" si="7"/>
        <v>[S06_InstallationsConservativeEstimates][8][InstallationConservativeShare]</v>
      </c>
    </row>
    <row r="500" spans="1:15" x14ac:dyDescent="0.3">
      <c r="A500" t="s">
        <v>2277</v>
      </c>
      <c r="B500" t="s">
        <v>1975</v>
      </c>
      <c r="C500" t="s">
        <v>1976</v>
      </c>
      <c r="D500">
        <v>1</v>
      </c>
      <c r="E500" t="s">
        <v>1447</v>
      </c>
      <c r="F500" t="s">
        <v>1980</v>
      </c>
      <c r="G500" t="s">
        <v>1741</v>
      </c>
      <c r="H500" t="s">
        <v>2332</v>
      </c>
      <c r="I500" t="s">
        <v>2279</v>
      </c>
      <c r="J500" t="s">
        <v>2279</v>
      </c>
      <c r="K500" t="s">
        <v>2279</v>
      </c>
      <c r="L500" t="s">
        <v>2279</v>
      </c>
      <c r="M500" t="s">
        <v>2279</v>
      </c>
      <c r="N500" t="s">
        <v>2279</v>
      </c>
      <c r="O500" s="190" t="str">
        <f t="shared" si="7"/>
        <v>[S06_InstallationsConservativeEstimates][1][ConservativeMethod]</v>
      </c>
    </row>
    <row r="501" spans="1:15" x14ac:dyDescent="0.3">
      <c r="A501" t="s">
        <v>2277</v>
      </c>
      <c r="B501" t="s">
        <v>1975</v>
      </c>
      <c r="C501" t="s">
        <v>1976</v>
      </c>
      <c r="D501">
        <v>2</v>
      </c>
      <c r="E501" t="s">
        <v>1447</v>
      </c>
      <c r="F501" t="s">
        <v>1980</v>
      </c>
      <c r="G501" t="s">
        <v>1741</v>
      </c>
      <c r="H501" t="s">
        <v>2332</v>
      </c>
      <c r="I501" t="s">
        <v>2279</v>
      </c>
      <c r="J501" t="s">
        <v>2279</v>
      </c>
      <c r="K501" t="s">
        <v>2279</v>
      </c>
      <c r="L501" t="s">
        <v>2279</v>
      </c>
      <c r="M501" t="s">
        <v>2279</v>
      </c>
      <c r="N501" t="s">
        <v>2279</v>
      </c>
      <c r="O501" s="190" t="str">
        <f t="shared" si="7"/>
        <v>[S06_InstallationsConservativeEstimates][2][ConservativeMethod]</v>
      </c>
    </row>
    <row r="502" spans="1:15" x14ac:dyDescent="0.3">
      <c r="A502" t="s">
        <v>2277</v>
      </c>
      <c r="B502" t="s">
        <v>1975</v>
      </c>
      <c r="C502" t="s">
        <v>1976</v>
      </c>
      <c r="D502">
        <v>3</v>
      </c>
      <c r="E502" t="s">
        <v>1447</v>
      </c>
      <c r="F502" t="s">
        <v>1980</v>
      </c>
      <c r="G502" t="s">
        <v>1741</v>
      </c>
      <c r="H502" t="s">
        <v>2332</v>
      </c>
      <c r="I502" t="s">
        <v>2279</v>
      </c>
      <c r="J502" t="s">
        <v>2279</v>
      </c>
      <c r="K502" t="s">
        <v>2279</v>
      </c>
      <c r="L502" t="s">
        <v>2279</v>
      </c>
      <c r="M502" t="s">
        <v>2279</v>
      </c>
      <c r="N502" t="s">
        <v>2279</v>
      </c>
      <c r="O502" s="190" t="str">
        <f t="shared" si="7"/>
        <v>[S06_InstallationsConservativeEstimates][3][ConservativeMethod]</v>
      </c>
    </row>
    <row r="503" spans="1:15" x14ac:dyDescent="0.3">
      <c r="A503" t="s">
        <v>2277</v>
      </c>
      <c r="B503" t="s">
        <v>1975</v>
      </c>
      <c r="C503" t="s">
        <v>1976</v>
      </c>
      <c r="D503">
        <v>4</v>
      </c>
      <c r="E503" t="s">
        <v>1447</v>
      </c>
      <c r="F503" t="s">
        <v>1980</v>
      </c>
      <c r="G503" t="s">
        <v>1741</v>
      </c>
      <c r="H503" t="s">
        <v>2332</v>
      </c>
      <c r="I503" t="s">
        <v>2279</v>
      </c>
      <c r="J503" t="s">
        <v>2279</v>
      </c>
      <c r="K503" t="s">
        <v>2279</v>
      </c>
      <c r="L503" t="s">
        <v>2279</v>
      </c>
      <c r="M503" t="s">
        <v>2279</v>
      </c>
      <c r="N503" t="s">
        <v>2279</v>
      </c>
      <c r="O503" s="190" t="str">
        <f t="shared" si="7"/>
        <v>[S06_InstallationsConservativeEstimates][4][ConservativeMethod]</v>
      </c>
    </row>
    <row r="504" spans="1:15" x14ac:dyDescent="0.3">
      <c r="A504" t="s">
        <v>2277</v>
      </c>
      <c r="B504" t="s">
        <v>1975</v>
      </c>
      <c r="C504" t="s">
        <v>1976</v>
      </c>
      <c r="D504">
        <v>5</v>
      </c>
      <c r="E504" t="s">
        <v>1447</v>
      </c>
      <c r="F504" t="s">
        <v>1980</v>
      </c>
      <c r="G504" t="s">
        <v>1741</v>
      </c>
      <c r="H504" t="s">
        <v>2332</v>
      </c>
      <c r="I504" t="s">
        <v>2279</v>
      </c>
      <c r="J504" t="s">
        <v>2279</v>
      </c>
      <c r="K504" t="s">
        <v>2279</v>
      </c>
      <c r="L504" t="s">
        <v>2279</v>
      </c>
      <c r="M504" t="s">
        <v>2279</v>
      </c>
      <c r="N504" t="s">
        <v>2279</v>
      </c>
      <c r="O504" s="190" t="str">
        <f t="shared" si="7"/>
        <v>[S06_InstallationsConservativeEstimates][5][ConservativeMethod]</v>
      </c>
    </row>
    <row r="505" spans="1:15" x14ac:dyDescent="0.3">
      <c r="A505" t="s">
        <v>2277</v>
      </c>
      <c r="B505" t="s">
        <v>1975</v>
      </c>
      <c r="C505" t="s">
        <v>1976</v>
      </c>
      <c r="D505">
        <v>6</v>
      </c>
      <c r="E505" t="s">
        <v>1447</v>
      </c>
      <c r="F505" t="s">
        <v>1980</v>
      </c>
      <c r="G505" t="s">
        <v>1741</v>
      </c>
      <c r="H505" t="s">
        <v>2332</v>
      </c>
      <c r="I505" t="s">
        <v>2279</v>
      </c>
      <c r="J505" t="s">
        <v>2279</v>
      </c>
      <c r="K505" t="s">
        <v>2279</v>
      </c>
      <c r="L505" t="s">
        <v>2279</v>
      </c>
      <c r="M505" t="s">
        <v>2279</v>
      </c>
      <c r="N505" t="s">
        <v>2279</v>
      </c>
      <c r="O505" s="190" t="str">
        <f t="shared" si="7"/>
        <v>[S06_InstallationsConservativeEstimates][6][ConservativeMethod]</v>
      </c>
    </row>
    <row r="506" spans="1:15" x14ac:dyDescent="0.3">
      <c r="A506" t="s">
        <v>2277</v>
      </c>
      <c r="B506" t="s">
        <v>1975</v>
      </c>
      <c r="C506" t="s">
        <v>1976</v>
      </c>
      <c r="D506">
        <v>7</v>
      </c>
      <c r="E506" t="s">
        <v>1447</v>
      </c>
      <c r="F506" t="s">
        <v>1980</v>
      </c>
      <c r="G506" t="s">
        <v>1741</v>
      </c>
      <c r="H506" t="s">
        <v>2332</v>
      </c>
      <c r="I506" t="s">
        <v>2279</v>
      </c>
      <c r="J506" t="s">
        <v>2279</v>
      </c>
      <c r="K506" t="s">
        <v>2279</v>
      </c>
      <c r="L506" t="s">
        <v>2279</v>
      </c>
      <c r="M506" t="s">
        <v>2279</v>
      </c>
      <c r="N506" t="s">
        <v>2279</v>
      </c>
      <c r="O506" s="190" t="str">
        <f t="shared" si="7"/>
        <v>[S06_InstallationsConservativeEstimates][7][ConservativeMethod]</v>
      </c>
    </row>
    <row r="507" spans="1:15" x14ac:dyDescent="0.3">
      <c r="A507" t="s">
        <v>2277</v>
      </c>
      <c r="B507" t="s">
        <v>1975</v>
      </c>
      <c r="C507" t="s">
        <v>1976</v>
      </c>
      <c r="D507">
        <v>8</v>
      </c>
      <c r="E507" t="s">
        <v>1447</v>
      </c>
      <c r="F507" t="s">
        <v>1980</v>
      </c>
      <c r="G507" t="s">
        <v>1741</v>
      </c>
      <c r="H507" t="s">
        <v>2332</v>
      </c>
      <c r="I507" t="s">
        <v>2279</v>
      </c>
      <c r="J507" t="s">
        <v>2279</v>
      </c>
      <c r="K507" t="s">
        <v>2279</v>
      </c>
      <c r="L507" t="s">
        <v>2279</v>
      </c>
      <c r="M507" t="s">
        <v>2279</v>
      </c>
      <c r="N507" t="s">
        <v>2279</v>
      </c>
      <c r="O507" s="190" t="str">
        <f t="shared" si="7"/>
        <v>[S06_InstallationsConservativeEstimates][8][ConservativeMethod]</v>
      </c>
    </row>
    <row r="508" spans="1:15" x14ac:dyDescent="0.3">
      <c r="A508" t="s">
        <v>2277</v>
      </c>
      <c r="B508" t="s">
        <v>1975</v>
      </c>
      <c r="C508" t="s">
        <v>1976</v>
      </c>
      <c r="D508">
        <v>1</v>
      </c>
      <c r="E508" t="s">
        <v>1447</v>
      </c>
      <c r="F508" t="s">
        <v>1981</v>
      </c>
      <c r="G508" t="s">
        <v>1737</v>
      </c>
      <c r="H508" t="s">
        <v>2279</v>
      </c>
      <c r="I508" t="s">
        <v>2279</v>
      </c>
      <c r="J508" t="s">
        <v>2279</v>
      </c>
      <c r="K508" t="s">
        <v>2279</v>
      </c>
      <c r="L508" t="s">
        <v>1491</v>
      </c>
      <c r="M508" t="s">
        <v>2279</v>
      </c>
      <c r="N508" t="s">
        <v>2279</v>
      </c>
      <c r="O508" s="190" t="str">
        <f t="shared" si="7"/>
        <v>[S06_InstallationsConservativeEstimates][1][FurtherAction]</v>
      </c>
    </row>
    <row r="509" spans="1:15" x14ac:dyDescent="0.3">
      <c r="A509" t="s">
        <v>2277</v>
      </c>
      <c r="B509" t="s">
        <v>1975</v>
      </c>
      <c r="C509" t="s">
        <v>1976</v>
      </c>
      <c r="D509">
        <v>2</v>
      </c>
      <c r="E509" t="s">
        <v>1447</v>
      </c>
      <c r="F509" t="s">
        <v>1981</v>
      </c>
      <c r="G509" t="s">
        <v>1737</v>
      </c>
      <c r="H509" t="s">
        <v>2279</v>
      </c>
      <c r="I509" t="s">
        <v>2279</v>
      </c>
      <c r="J509" t="s">
        <v>2279</v>
      </c>
      <c r="K509" t="s">
        <v>2279</v>
      </c>
      <c r="L509" t="s">
        <v>1491</v>
      </c>
      <c r="M509" t="s">
        <v>2279</v>
      </c>
      <c r="N509" t="s">
        <v>2279</v>
      </c>
      <c r="O509" s="190" t="str">
        <f t="shared" si="7"/>
        <v>[S06_InstallationsConservativeEstimates][2][FurtherAction]</v>
      </c>
    </row>
    <row r="510" spans="1:15" x14ac:dyDescent="0.3">
      <c r="A510" t="s">
        <v>2277</v>
      </c>
      <c r="B510" t="s">
        <v>1975</v>
      </c>
      <c r="C510" t="s">
        <v>1976</v>
      </c>
      <c r="D510">
        <v>3</v>
      </c>
      <c r="E510" t="s">
        <v>1447</v>
      </c>
      <c r="F510" t="s">
        <v>1981</v>
      </c>
      <c r="G510" t="s">
        <v>1737</v>
      </c>
      <c r="H510" t="s">
        <v>2279</v>
      </c>
      <c r="I510" t="s">
        <v>2279</v>
      </c>
      <c r="J510" t="s">
        <v>2279</v>
      </c>
      <c r="K510" t="s">
        <v>2279</v>
      </c>
      <c r="L510" t="s">
        <v>1491</v>
      </c>
      <c r="M510" t="s">
        <v>2279</v>
      </c>
      <c r="N510" t="s">
        <v>2279</v>
      </c>
      <c r="O510" s="190" t="str">
        <f t="shared" si="7"/>
        <v>[S06_InstallationsConservativeEstimates][3][FurtherAction]</v>
      </c>
    </row>
    <row r="511" spans="1:15" x14ac:dyDescent="0.3">
      <c r="A511" t="s">
        <v>2277</v>
      </c>
      <c r="B511" t="s">
        <v>1975</v>
      </c>
      <c r="C511" t="s">
        <v>1976</v>
      </c>
      <c r="D511">
        <v>4</v>
      </c>
      <c r="E511" t="s">
        <v>1447</v>
      </c>
      <c r="F511" t="s">
        <v>1981</v>
      </c>
      <c r="G511" t="s">
        <v>1737</v>
      </c>
      <c r="H511" t="s">
        <v>2279</v>
      </c>
      <c r="I511" t="s">
        <v>2279</v>
      </c>
      <c r="J511" t="s">
        <v>2279</v>
      </c>
      <c r="K511" t="s">
        <v>2279</v>
      </c>
      <c r="L511" t="s">
        <v>1491</v>
      </c>
      <c r="M511" t="s">
        <v>2279</v>
      </c>
      <c r="N511" t="s">
        <v>2279</v>
      </c>
      <c r="O511" s="190" t="str">
        <f t="shared" si="7"/>
        <v>[S06_InstallationsConservativeEstimates][4][FurtherAction]</v>
      </c>
    </row>
    <row r="512" spans="1:15" x14ac:dyDescent="0.3">
      <c r="A512" t="s">
        <v>2277</v>
      </c>
      <c r="B512" t="s">
        <v>1975</v>
      </c>
      <c r="C512" t="s">
        <v>1976</v>
      </c>
      <c r="D512">
        <v>5</v>
      </c>
      <c r="E512" t="s">
        <v>1447</v>
      </c>
      <c r="F512" t="s">
        <v>1981</v>
      </c>
      <c r="G512" t="s">
        <v>1737</v>
      </c>
      <c r="H512" t="s">
        <v>2279</v>
      </c>
      <c r="I512" t="s">
        <v>2279</v>
      </c>
      <c r="J512" t="s">
        <v>2279</v>
      </c>
      <c r="K512" t="s">
        <v>2279</v>
      </c>
      <c r="L512" t="s">
        <v>1511</v>
      </c>
      <c r="M512" t="s">
        <v>2279</v>
      </c>
      <c r="N512" t="s">
        <v>2279</v>
      </c>
      <c r="O512" s="190" t="str">
        <f t="shared" si="7"/>
        <v>[S06_InstallationsConservativeEstimates][5][FurtherAction]</v>
      </c>
    </row>
    <row r="513" spans="1:15" x14ac:dyDescent="0.3">
      <c r="A513" t="s">
        <v>2277</v>
      </c>
      <c r="B513" t="s">
        <v>1975</v>
      </c>
      <c r="C513" t="s">
        <v>1976</v>
      </c>
      <c r="D513">
        <v>6</v>
      </c>
      <c r="E513" t="s">
        <v>1447</v>
      </c>
      <c r="F513" t="s">
        <v>1981</v>
      </c>
      <c r="G513" t="s">
        <v>1737</v>
      </c>
      <c r="H513" t="s">
        <v>2279</v>
      </c>
      <c r="I513" t="s">
        <v>2279</v>
      </c>
      <c r="J513" t="s">
        <v>2279</v>
      </c>
      <c r="K513" t="s">
        <v>2279</v>
      </c>
      <c r="L513" t="s">
        <v>1511</v>
      </c>
      <c r="M513" t="s">
        <v>2279</v>
      </c>
      <c r="N513" t="s">
        <v>2279</v>
      </c>
      <c r="O513" s="190" t="str">
        <f t="shared" si="7"/>
        <v>[S06_InstallationsConservativeEstimates][6][FurtherAction]</v>
      </c>
    </row>
    <row r="514" spans="1:15" x14ac:dyDescent="0.3">
      <c r="A514" t="s">
        <v>2277</v>
      </c>
      <c r="B514" t="s">
        <v>1975</v>
      </c>
      <c r="C514" t="s">
        <v>1976</v>
      </c>
      <c r="D514">
        <v>7</v>
      </c>
      <c r="E514" t="s">
        <v>1447</v>
      </c>
      <c r="F514" t="s">
        <v>1981</v>
      </c>
      <c r="G514" t="s">
        <v>1737</v>
      </c>
      <c r="H514" t="s">
        <v>2279</v>
      </c>
      <c r="I514" t="s">
        <v>2279</v>
      </c>
      <c r="J514" t="s">
        <v>2279</v>
      </c>
      <c r="K514" t="s">
        <v>2279</v>
      </c>
      <c r="L514" t="s">
        <v>1491</v>
      </c>
      <c r="M514" t="s">
        <v>2279</v>
      </c>
      <c r="N514" t="s">
        <v>2279</v>
      </c>
      <c r="O514" s="190" t="str">
        <f t="shared" ref="O514:O577" si="8">"["&amp;$C514&amp;"]["&amp;$D514&amp;"]["&amp;$F514&amp;"]"</f>
        <v>[S06_InstallationsConservativeEstimates][7][FurtherAction]</v>
      </c>
    </row>
    <row r="515" spans="1:15" x14ac:dyDescent="0.3">
      <c r="A515" t="s">
        <v>2277</v>
      </c>
      <c r="B515" t="s">
        <v>1975</v>
      </c>
      <c r="C515" t="s">
        <v>1976</v>
      </c>
      <c r="D515">
        <v>8</v>
      </c>
      <c r="E515" t="s">
        <v>1447</v>
      </c>
      <c r="F515" t="s">
        <v>1981</v>
      </c>
      <c r="G515" t="s">
        <v>1737</v>
      </c>
      <c r="H515" t="s">
        <v>2279</v>
      </c>
      <c r="I515" t="s">
        <v>2279</v>
      </c>
      <c r="J515" t="s">
        <v>2279</v>
      </c>
      <c r="K515" t="s">
        <v>2279</v>
      </c>
      <c r="L515" t="s">
        <v>1511</v>
      </c>
      <c r="M515" t="s">
        <v>2279</v>
      </c>
      <c r="N515" t="s">
        <v>2279</v>
      </c>
      <c r="O515" s="190" t="str">
        <f t="shared" si="8"/>
        <v>[S06_InstallationsConservativeEstimates][8][FurtherAction]</v>
      </c>
    </row>
    <row r="516" spans="1:15" x14ac:dyDescent="0.3">
      <c r="A516" t="s">
        <v>2277</v>
      </c>
      <c r="B516" t="s">
        <v>1975</v>
      </c>
      <c r="C516" t="s">
        <v>1983</v>
      </c>
      <c r="D516">
        <v>1</v>
      </c>
      <c r="E516" t="s">
        <v>1447</v>
      </c>
      <c r="F516" t="s">
        <v>1984</v>
      </c>
      <c r="G516" t="s">
        <v>1748</v>
      </c>
      <c r="H516" t="s">
        <v>2279</v>
      </c>
      <c r="I516">
        <v>8</v>
      </c>
      <c r="J516" t="s">
        <v>2279</v>
      </c>
      <c r="K516" t="s">
        <v>2279</v>
      </c>
      <c r="L516" t="s">
        <v>2279</v>
      </c>
      <c r="M516" t="s">
        <v>2279</v>
      </c>
      <c r="N516" t="s">
        <v>2279</v>
      </c>
      <c r="O516" s="190" t="str">
        <f t="shared" si="8"/>
        <v>[S06_NegativeOpinionInstallations][1][CountNegativeOpinions]</v>
      </c>
    </row>
    <row r="517" spans="1:15" x14ac:dyDescent="0.3">
      <c r="A517" t="s">
        <v>2277</v>
      </c>
      <c r="B517" t="s">
        <v>1975</v>
      </c>
      <c r="C517" t="s">
        <v>1983</v>
      </c>
      <c r="D517">
        <v>2</v>
      </c>
      <c r="E517" t="s">
        <v>1447</v>
      </c>
      <c r="F517" t="s">
        <v>1984</v>
      </c>
      <c r="G517" t="s">
        <v>1748</v>
      </c>
      <c r="H517" t="s">
        <v>2279</v>
      </c>
      <c r="I517">
        <v>0</v>
      </c>
      <c r="J517" t="s">
        <v>2279</v>
      </c>
      <c r="K517" t="s">
        <v>2279</v>
      </c>
      <c r="L517" t="s">
        <v>2279</v>
      </c>
      <c r="M517" t="s">
        <v>2279</v>
      </c>
      <c r="N517" t="s">
        <v>2279</v>
      </c>
      <c r="O517" s="190" t="str">
        <f t="shared" si="8"/>
        <v>[S06_NegativeOpinionInstallations][2][CountNegativeOpinions]</v>
      </c>
    </row>
    <row r="518" spans="1:15" x14ac:dyDescent="0.3">
      <c r="A518" t="s">
        <v>2277</v>
      </c>
      <c r="B518" t="s">
        <v>1975</v>
      </c>
      <c r="C518" t="s">
        <v>1983</v>
      </c>
      <c r="D518">
        <v>3</v>
      </c>
      <c r="E518" t="s">
        <v>1447</v>
      </c>
      <c r="F518" t="s">
        <v>1984</v>
      </c>
      <c r="G518" t="s">
        <v>1748</v>
      </c>
      <c r="H518" t="s">
        <v>2279</v>
      </c>
      <c r="I518">
        <v>0</v>
      </c>
      <c r="J518" t="s">
        <v>2279</v>
      </c>
      <c r="K518" t="s">
        <v>2279</v>
      </c>
      <c r="L518" t="s">
        <v>2279</v>
      </c>
      <c r="M518" t="s">
        <v>2279</v>
      </c>
      <c r="N518" t="s">
        <v>2279</v>
      </c>
      <c r="O518" s="190" t="str">
        <f t="shared" si="8"/>
        <v>[S06_NegativeOpinionInstallations][3][CountNegativeOpinions]</v>
      </c>
    </row>
    <row r="519" spans="1:15" x14ac:dyDescent="0.3">
      <c r="A519" t="s">
        <v>2277</v>
      </c>
      <c r="B519" t="s">
        <v>1975</v>
      </c>
      <c r="C519" t="s">
        <v>1983</v>
      </c>
      <c r="D519">
        <v>4</v>
      </c>
      <c r="E519" t="s">
        <v>1447</v>
      </c>
      <c r="F519" t="s">
        <v>1984</v>
      </c>
      <c r="G519" t="s">
        <v>1748</v>
      </c>
      <c r="H519" t="s">
        <v>2279</v>
      </c>
      <c r="I519">
        <v>0</v>
      </c>
      <c r="J519" t="s">
        <v>2279</v>
      </c>
      <c r="K519" t="s">
        <v>2279</v>
      </c>
      <c r="L519" t="s">
        <v>2279</v>
      </c>
      <c r="M519" t="s">
        <v>2279</v>
      </c>
      <c r="N519" t="s">
        <v>2279</v>
      </c>
      <c r="O519" s="190" t="str">
        <f t="shared" si="8"/>
        <v>[S06_NegativeOpinionInstallations][4][CountNegativeOpinions]</v>
      </c>
    </row>
    <row r="520" spans="1:15" x14ac:dyDescent="0.3">
      <c r="A520" t="s">
        <v>2277</v>
      </c>
      <c r="B520" t="s">
        <v>1985</v>
      </c>
      <c r="C520" t="s">
        <v>1986</v>
      </c>
      <c r="D520">
        <v>0</v>
      </c>
      <c r="E520" t="s">
        <v>1447</v>
      </c>
      <c r="F520" t="s">
        <v>1986</v>
      </c>
      <c r="G520" t="s">
        <v>1759</v>
      </c>
      <c r="H520" t="s">
        <v>2279</v>
      </c>
      <c r="I520" t="s">
        <v>2279</v>
      </c>
      <c r="J520" t="s">
        <v>2279</v>
      </c>
      <c r="K520" t="s">
        <v>2279</v>
      </c>
      <c r="L520" t="s">
        <v>1419</v>
      </c>
      <c r="M520" t="s">
        <v>2279</v>
      </c>
      <c r="N520" t="s">
        <v>2279</v>
      </c>
      <c r="O520" s="190" t="str">
        <f t="shared" si="8"/>
        <v>[InstallationsVerificationReportIssues][0][InstallationsVerificationReportIssues]</v>
      </c>
    </row>
    <row r="521" spans="1:15" x14ac:dyDescent="0.3">
      <c r="A521" t="s">
        <v>2277</v>
      </c>
      <c r="B521" t="s">
        <v>1985</v>
      </c>
      <c r="C521" t="s">
        <v>1987</v>
      </c>
      <c r="D521">
        <v>1</v>
      </c>
      <c r="E521" t="s">
        <v>1447</v>
      </c>
      <c r="F521" t="s">
        <v>1988</v>
      </c>
      <c r="G521" t="s">
        <v>1737</v>
      </c>
      <c r="H521" t="s">
        <v>2279</v>
      </c>
      <c r="I521" t="s">
        <v>2279</v>
      </c>
      <c r="J521" t="s">
        <v>2279</v>
      </c>
      <c r="K521" t="s">
        <v>2279</v>
      </c>
      <c r="L521" t="s">
        <v>1420</v>
      </c>
      <c r="M521" t="s">
        <v>2279</v>
      </c>
      <c r="N521" t="s">
        <v>2279</v>
      </c>
      <c r="O521" s="190" t="str">
        <f t="shared" si="8"/>
        <v>[S06_InstallationsVerificationReportsIssueDetail][1][AnnexIActivity]</v>
      </c>
    </row>
    <row r="522" spans="1:15" x14ac:dyDescent="0.3">
      <c r="A522" t="s">
        <v>2277</v>
      </c>
      <c r="B522" t="s">
        <v>1985</v>
      </c>
      <c r="C522" t="s">
        <v>1987</v>
      </c>
      <c r="D522">
        <v>2</v>
      </c>
      <c r="E522" t="s">
        <v>1447</v>
      </c>
      <c r="F522" t="s">
        <v>1988</v>
      </c>
      <c r="G522" t="s">
        <v>1737</v>
      </c>
      <c r="H522" t="s">
        <v>2279</v>
      </c>
      <c r="I522" t="s">
        <v>2279</v>
      </c>
      <c r="J522" t="s">
        <v>2279</v>
      </c>
      <c r="K522" t="s">
        <v>2279</v>
      </c>
      <c r="L522" t="s">
        <v>1573</v>
      </c>
      <c r="M522" t="s">
        <v>2279</v>
      </c>
      <c r="N522" t="s">
        <v>2279</v>
      </c>
      <c r="O522" s="190" t="str">
        <f t="shared" si="8"/>
        <v>[S06_InstallationsVerificationReportsIssueDetail][2][AnnexIActivity]</v>
      </c>
    </row>
    <row r="523" spans="1:15" x14ac:dyDescent="0.3">
      <c r="A523" t="s">
        <v>2277</v>
      </c>
      <c r="B523" t="s">
        <v>1985</v>
      </c>
      <c r="C523" t="s">
        <v>1987</v>
      </c>
      <c r="D523">
        <v>3</v>
      </c>
      <c r="E523" t="s">
        <v>1447</v>
      </c>
      <c r="F523" t="s">
        <v>1988</v>
      </c>
      <c r="G523" t="s">
        <v>1737</v>
      </c>
      <c r="H523" t="s">
        <v>2279</v>
      </c>
      <c r="I523" t="s">
        <v>2279</v>
      </c>
      <c r="J523" t="s">
        <v>2279</v>
      </c>
      <c r="K523" t="s">
        <v>2279</v>
      </c>
      <c r="L523" t="s">
        <v>1636</v>
      </c>
      <c r="M523" t="s">
        <v>2279</v>
      </c>
      <c r="N523" t="s">
        <v>2279</v>
      </c>
      <c r="O523" s="190" t="str">
        <f t="shared" si="8"/>
        <v>[S06_InstallationsVerificationReportsIssueDetail][3][AnnexIActivity]</v>
      </c>
    </row>
    <row r="524" spans="1:15" x14ac:dyDescent="0.3">
      <c r="A524" t="s">
        <v>2277</v>
      </c>
      <c r="B524" t="s">
        <v>1985</v>
      </c>
      <c r="C524" t="s">
        <v>1987</v>
      </c>
      <c r="D524">
        <v>4</v>
      </c>
      <c r="E524" t="s">
        <v>1447</v>
      </c>
      <c r="F524" t="s">
        <v>1988</v>
      </c>
      <c r="G524" t="s">
        <v>1737</v>
      </c>
      <c r="H524" t="s">
        <v>2279</v>
      </c>
      <c r="I524" t="s">
        <v>2279</v>
      </c>
      <c r="J524" t="s">
        <v>2279</v>
      </c>
      <c r="K524" t="s">
        <v>2279</v>
      </c>
      <c r="L524" t="s">
        <v>1597</v>
      </c>
      <c r="M524" t="s">
        <v>2279</v>
      </c>
      <c r="N524" t="s">
        <v>2279</v>
      </c>
      <c r="O524" s="190" t="str">
        <f t="shared" si="8"/>
        <v>[S06_InstallationsVerificationReportsIssueDetail][4][AnnexIActivity]</v>
      </c>
    </row>
    <row r="525" spans="1:15" x14ac:dyDescent="0.3">
      <c r="A525" t="s">
        <v>2277</v>
      </c>
      <c r="B525" t="s">
        <v>1985</v>
      </c>
      <c r="C525" t="s">
        <v>1987</v>
      </c>
      <c r="D525">
        <v>5</v>
      </c>
      <c r="E525" t="s">
        <v>1447</v>
      </c>
      <c r="F525" t="s">
        <v>1988</v>
      </c>
      <c r="G525" t="s">
        <v>1737</v>
      </c>
      <c r="H525" t="s">
        <v>2279</v>
      </c>
      <c r="I525" t="s">
        <v>2279</v>
      </c>
      <c r="J525" t="s">
        <v>2279</v>
      </c>
      <c r="K525" t="s">
        <v>2279</v>
      </c>
      <c r="L525" t="s">
        <v>1577</v>
      </c>
      <c r="M525" t="s">
        <v>2279</v>
      </c>
      <c r="N525" t="s">
        <v>2279</v>
      </c>
      <c r="O525" s="190" t="str">
        <f t="shared" si="8"/>
        <v>[S06_InstallationsVerificationReportsIssueDetail][5][AnnexIActivity]</v>
      </c>
    </row>
    <row r="526" spans="1:15" x14ac:dyDescent="0.3">
      <c r="A526" t="s">
        <v>2277</v>
      </c>
      <c r="B526" t="s">
        <v>1985</v>
      </c>
      <c r="C526" t="s">
        <v>1987</v>
      </c>
      <c r="D526">
        <v>1</v>
      </c>
      <c r="E526" t="s">
        <v>1447</v>
      </c>
      <c r="F526" t="s">
        <v>1989</v>
      </c>
      <c r="G526" t="s">
        <v>1737</v>
      </c>
      <c r="H526" t="s">
        <v>2279</v>
      </c>
      <c r="I526" t="s">
        <v>2279</v>
      </c>
      <c r="J526" t="s">
        <v>2279</v>
      </c>
      <c r="K526" t="s">
        <v>2279</v>
      </c>
      <c r="L526" t="s">
        <v>1467</v>
      </c>
      <c r="M526" t="s">
        <v>2279</v>
      </c>
      <c r="N526" t="s">
        <v>2279</v>
      </c>
      <c r="O526" s="190" t="str">
        <f t="shared" si="8"/>
        <v>[S06_InstallationsVerificationReportsIssueDetail][1][TypeOfIssue]</v>
      </c>
    </row>
    <row r="527" spans="1:15" x14ac:dyDescent="0.3">
      <c r="A527" t="s">
        <v>2277</v>
      </c>
      <c r="B527" t="s">
        <v>1985</v>
      </c>
      <c r="C527" t="s">
        <v>1987</v>
      </c>
      <c r="D527">
        <v>2</v>
      </c>
      <c r="E527" t="s">
        <v>1447</v>
      </c>
      <c r="F527" t="s">
        <v>1989</v>
      </c>
      <c r="G527" t="s">
        <v>1737</v>
      </c>
      <c r="H527" t="s">
        <v>2279</v>
      </c>
      <c r="I527" t="s">
        <v>2279</v>
      </c>
      <c r="J527" t="s">
        <v>2279</v>
      </c>
      <c r="K527" t="s">
        <v>2279</v>
      </c>
      <c r="L527" t="s">
        <v>1467</v>
      </c>
      <c r="M527" t="s">
        <v>2279</v>
      </c>
      <c r="N527" t="s">
        <v>2279</v>
      </c>
      <c r="O527" s="190" t="str">
        <f t="shared" si="8"/>
        <v>[S06_InstallationsVerificationReportsIssueDetail][2][TypeOfIssue]</v>
      </c>
    </row>
    <row r="528" spans="1:15" x14ac:dyDescent="0.3">
      <c r="A528" t="s">
        <v>2277</v>
      </c>
      <c r="B528" t="s">
        <v>1985</v>
      </c>
      <c r="C528" t="s">
        <v>1987</v>
      </c>
      <c r="D528">
        <v>3</v>
      </c>
      <c r="E528" t="s">
        <v>1447</v>
      </c>
      <c r="F528" t="s">
        <v>1989</v>
      </c>
      <c r="G528" t="s">
        <v>1737</v>
      </c>
      <c r="H528" t="s">
        <v>2279</v>
      </c>
      <c r="I528" t="s">
        <v>2279</v>
      </c>
      <c r="J528" t="s">
        <v>2279</v>
      </c>
      <c r="K528" t="s">
        <v>2279</v>
      </c>
      <c r="L528" t="s">
        <v>1439</v>
      </c>
      <c r="M528" t="s">
        <v>2279</v>
      </c>
      <c r="N528" t="s">
        <v>2279</v>
      </c>
      <c r="O528" s="190" t="str">
        <f t="shared" si="8"/>
        <v>[S06_InstallationsVerificationReportsIssueDetail][3][TypeOfIssue]</v>
      </c>
    </row>
    <row r="529" spans="1:15" x14ac:dyDescent="0.3">
      <c r="A529" t="s">
        <v>2277</v>
      </c>
      <c r="B529" t="s">
        <v>1985</v>
      </c>
      <c r="C529" t="s">
        <v>1987</v>
      </c>
      <c r="D529">
        <v>4</v>
      </c>
      <c r="E529" t="s">
        <v>1447</v>
      </c>
      <c r="F529" t="s">
        <v>1989</v>
      </c>
      <c r="G529" t="s">
        <v>1737</v>
      </c>
      <c r="H529" t="s">
        <v>2279</v>
      </c>
      <c r="I529" t="s">
        <v>2279</v>
      </c>
      <c r="J529" t="s">
        <v>2279</v>
      </c>
      <c r="K529" t="s">
        <v>2279</v>
      </c>
      <c r="L529" t="s">
        <v>1467</v>
      </c>
      <c r="M529" t="s">
        <v>2279</v>
      </c>
      <c r="N529" t="s">
        <v>2279</v>
      </c>
      <c r="O529" s="190" t="str">
        <f t="shared" si="8"/>
        <v>[S06_InstallationsVerificationReportsIssueDetail][4][TypeOfIssue]</v>
      </c>
    </row>
    <row r="530" spans="1:15" x14ac:dyDescent="0.3">
      <c r="A530" t="s">
        <v>2277</v>
      </c>
      <c r="B530" t="s">
        <v>1985</v>
      </c>
      <c r="C530" t="s">
        <v>1987</v>
      </c>
      <c r="D530">
        <v>5</v>
      </c>
      <c r="E530" t="s">
        <v>1447</v>
      </c>
      <c r="F530" t="s">
        <v>1989</v>
      </c>
      <c r="G530" t="s">
        <v>1737</v>
      </c>
      <c r="H530" t="s">
        <v>2279</v>
      </c>
      <c r="I530" t="s">
        <v>2279</v>
      </c>
      <c r="J530" t="s">
        <v>2279</v>
      </c>
      <c r="K530" t="s">
        <v>2279</v>
      </c>
      <c r="L530" t="s">
        <v>1467</v>
      </c>
      <c r="M530" t="s">
        <v>2279</v>
      </c>
      <c r="N530" t="s">
        <v>2279</v>
      </c>
      <c r="O530" s="190" t="str">
        <f t="shared" si="8"/>
        <v>[S06_InstallationsVerificationReportsIssueDetail][5][TypeOfIssue]</v>
      </c>
    </row>
    <row r="531" spans="1:15" x14ac:dyDescent="0.3">
      <c r="A531" t="s">
        <v>2277</v>
      </c>
      <c r="B531" t="s">
        <v>1985</v>
      </c>
      <c r="C531" t="s">
        <v>1987</v>
      </c>
      <c r="D531">
        <v>1</v>
      </c>
      <c r="E531" t="s">
        <v>1447</v>
      </c>
      <c r="F531" t="s">
        <v>1798</v>
      </c>
      <c r="G531" t="s">
        <v>1748</v>
      </c>
      <c r="H531" t="s">
        <v>2279</v>
      </c>
      <c r="I531">
        <v>3</v>
      </c>
      <c r="J531" t="s">
        <v>2279</v>
      </c>
      <c r="K531" t="s">
        <v>2279</v>
      </c>
      <c r="L531" t="s">
        <v>2279</v>
      </c>
      <c r="M531" t="s">
        <v>2279</v>
      </c>
      <c r="N531" t="s">
        <v>2279</v>
      </c>
      <c r="O531" s="190" t="str">
        <f t="shared" si="8"/>
        <v>[S06_InstallationsVerificationReportsIssueDetail][1][NumberOfInstallations]</v>
      </c>
    </row>
    <row r="532" spans="1:15" x14ac:dyDescent="0.3">
      <c r="A532" t="s">
        <v>2277</v>
      </c>
      <c r="B532" t="s">
        <v>1985</v>
      </c>
      <c r="C532" t="s">
        <v>1987</v>
      </c>
      <c r="D532">
        <v>2</v>
      </c>
      <c r="E532" t="s">
        <v>1447</v>
      </c>
      <c r="F532" t="s">
        <v>1798</v>
      </c>
      <c r="G532" t="s">
        <v>1748</v>
      </c>
      <c r="H532" t="s">
        <v>2279</v>
      </c>
      <c r="I532">
        <v>1</v>
      </c>
      <c r="J532" t="s">
        <v>2279</v>
      </c>
      <c r="K532" t="s">
        <v>2279</v>
      </c>
      <c r="L532" t="s">
        <v>2279</v>
      </c>
      <c r="M532" t="s">
        <v>2279</v>
      </c>
      <c r="N532" t="s">
        <v>2279</v>
      </c>
      <c r="O532" s="190" t="str">
        <f t="shared" si="8"/>
        <v>[S06_InstallationsVerificationReportsIssueDetail][2][NumberOfInstallations]</v>
      </c>
    </row>
    <row r="533" spans="1:15" x14ac:dyDescent="0.3">
      <c r="A533" t="s">
        <v>2277</v>
      </c>
      <c r="B533" t="s">
        <v>1985</v>
      </c>
      <c r="C533" t="s">
        <v>1987</v>
      </c>
      <c r="D533">
        <v>3</v>
      </c>
      <c r="E533" t="s">
        <v>1447</v>
      </c>
      <c r="F533" t="s">
        <v>1798</v>
      </c>
      <c r="G533" t="s">
        <v>1748</v>
      </c>
      <c r="H533" t="s">
        <v>2279</v>
      </c>
      <c r="I533">
        <v>1</v>
      </c>
      <c r="J533" t="s">
        <v>2279</v>
      </c>
      <c r="K533" t="s">
        <v>2279</v>
      </c>
      <c r="L533" t="s">
        <v>2279</v>
      </c>
      <c r="M533" t="s">
        <v>2279</v>
      </c>
      <c r="N533" t="s">
        <v>2279</v>
      </c>
      <c r="O533" s="190" t="str">
        <f t="shared" si="8"/>
        <v>[S06_InstallationsVerificationReportsIssueDetail][3][NumberOfInstallations]</v>
      </c>
    </row>
    <row r="534" spans="1:15" x14ac:dyDescent="0.3">
      <c r="A534" t="s">
        <v>2277</v>
      </c>
      <c r="B534" t="s">
        <v>1985</v>
      </c>
      <c r="C534" t="s">
        <v>1987</v>
      </c>
      <c r="D534">
        <v>4</v>
      </c>
      <c r="E534" t="s">
        <v>1447</v>
      </c>
      <c r="F534" t="s">
        <v>1798</v>
      </c>
      <c r="G534" t="s">
        <v>1748</v>
      </c>
      <c r="H534" t="s">
        <v>2279</v>
      </c>
      <c r="I534">
        <v>1</v>
      </c>
      <c r="J534" t="s">
        <v>2279</v>
      </c>
      <c r="K534" t="s">
        <v>2279</v>
      </c>
      <c r="L534" t="s">
        <v>2279</v>
      </c>
      <c r="M534" t="s">
        <v>2279</v>
      </c>
      <c r="N534" t="s">
        <v>2279</v>
      </c>
      <c r="O534" s="190" t="str">
        <f t="shared" si="8"/>
        <v>[S06_InstallationsVerificationReportsIssueDetail][4][NumberOfInstallations]</v>
      </c>
    </row>
    <row r="535" spans="1:15" x14ac:dyDescent="0.3">
      <c r="A535" t="s">
        <v>2277</v>
      </c>
      <c r="B535" t="s">
        <v>1985</v>
      </c>
      <c r="C535" t="s">
        <v>1987</v>
      </c>
      <c r="D535">
        <v>5</v>
      </c>
      <c r="E535" t="s">
        <v>1447</v>
      </c>
      <c r="F535" t="s">
        <v>1798</v>
      </c>
      <c r="G535" t="s">
        <v>1748</v>
      </c>
      <c r="H535" t="s">
        <v>2279</v>
      </c>
      <c r="I535">
        <v>1</v>
      </c>
      <c r="J535" t="s">
        <v>2279</v>
      </c>
      <c r="K535" t="s">
        <v>2279</v>
      </c>
      <c r="L535" t="s">
        <v>2279</v>
      </c>
      <c r="M535" t="s">
        <v>2279</v>
      </c>
      <c r="N535" t="s">
        <v>2279</v>
      </c>
      <c r="O535" s="190" t="str">
        <f t="shared" si="8"/>
        <v>[S06_InstallationsVerificationReportsIssueDetail][5][NumberOfInstallations]</v>
      </c>
    </row>
    <row r="536" spans="1:15" x14ac:dyDescent="0.3">
      <c r="A536" t="s">
        <v>2277</v>
      </c>
      <c r="B536" t="s">
        <v>1985</v>
      </c>
      <c r="C536" t="s">
        <v>1987</v>
      </c>
      <c r="D536">
        <v>1</v>
      </c>
      <c r="E536" t="s">
        <v>1447</v>
      </c>
      <c r="F536" t="s">
        <v>1972</v>
      </c>
      <c r="G536" t="s">
        <v>1748</v>
      </c>
      <c r="H536" t="s">
        <v>2279</v>
      </c>
      <c r="I536">
        <v>2</v>
      </c>
      <c r="J536" t="s">
        <v>2279</v>
      </c>
      <c r="K536" t="s">
        <v>2279</v>
      </c>
      <c r="L536" t="s">
        <v>2279</v>
      </c>
      <c r="M536" t="s">
        <v>2279</v>
      </c>
      <c r="N536" t="s">
        <v>2279</v>
      </c>
      <c r="O536" s="190" t="str">
        <f t="shared" si="8"/>
        <v>[S06_InstallationsVerificationReportsIssueDetail][1][NumberOfIssues]</v>
      </c>
    </row>
    <row r="537" spans="1:15" x14ac:dyDescent="0.3">
      <c r="A537" t="s">
        <v>2277</v>
      </c>
      <c r="B537" t="s">
        <v>1985</v>
      </c>
      <c r="C537" t="s">
        <v>1987</v>
      </c>
      <c r="D537">
        <v>2</v>
      </c>
      <c r="E537" t="s">
        <v>1447</v>
      </c>
      <c r="F537" t="s">
        <v>1972</v>
      </c>
      <c r="G537" t="s">
        <v>1748</v>
      </c>
      <c r="H537" t="s">
        <v>2279</v>
      </c>
      <c r="I537">
        <v>1</v>
      </c>
      <c r="J537" t="s">
        <v>2279</v>
      </c>
      <c r="K537" t="s">
        <v>2279</v>
      </c>
      <c r="L537" t="s">
        <v>2279</v>
      </c>
      <c r="M537" t="s">
        <v>2279</v>
      </c>
      <c r="N537" t="s">
        <v>2279</v>
      </c>
      <c r="O537" s="190" t="str">
        <f t="shared" si="8"/>
        <v>[S06_InstallationsVerificationReportsIssueDetail][2][NumberOfIssues]</v>
      </c>
    </row>
    <row r="538" spans="1:15" x14ac:dyDescent="0.3">
      <c r="A538" t="s">
        <v>2277</v>
      </c>
      <c r="B538" t="s">
        <v>1985</v>
      </c>
      <c r="C538" t="s">
        <v>1987</v>
      </c>
      <c r="D538">
        <v>3</v>
      </c>
      <c r="E538" t="s">
        <v>1447</v>
      </c>
      <c r="F538" t="s">
        <v>1972</v>
      </c>
      <c r="G538" t="s">
        <v>1748</v>
      </c>
      <c r="H538" t="s">
        <v>2279</v>
      </c>
      <c r="I538">
        <v>1</v>
      </c>
      <c r="J538" t="s">
        <v>2279</v>
      </c>
      <c r="K538" t="s">
        <v>2279</v>
      </c>
      <c r="L538" t="s">
        <v>2279</v>
      </c>
      <c r="M538" t="s">
        <v>2279</v>
      </c>
      <c r="N538" t="s">
        <v>2279</v>
      </c>
      <c r="O538" s="190" t="str">
        <f t="shared" si="8"/>
        <v>[S06_InstallationsVerificationReportsIssueDetail][3][NumberOfIssues]</v>
      </c>
    </row>
    <row r="539" spans="1:15" x14ac:dyDescent="0.3">
      <c r="A539" t="s">
        <v>2277</v>
      </c>
      <c r="B539" t="s">
        <v>1985</v>
      </c>
      <c r="C539" t="s">
        <v>1987</v>
      </c>
      <c r="D539">
        <v>4</v>
      </c>
      <c r="E539" t="s">
        <v>1447</v>
      </c>
      <c r="F539" t="s">
        <v>1972</v>
      </c>
      <c r="G539" t="s">
        <v>1748</v>
      </c>
      <c r="H539" t="s">
        <v>2279</v>
      </c>
      <c r="I539">
        <v>1</v>
      </c>
      <c r="J539" t="s">
        <v>2279</v>
      </c>
      <c r="K539" t="s">
        <v>2279</v>
      </c>
      <c r="L539" t="s">
        <v>2279</v>
      </c>
      <c r="M539" t="s">
        <v>2279</v>
      </c>
      <c r="N539" t="s">
        <v>2279</v>
      </c>
      <c r="O539" s="190" t="str">
        <f t="shared" si="8"/>
        <v>[S06_InstallationsVerificationReportsIssueDetail][4][NumberOfIssues]</v>
      </c>
    </row>
    <row r="540" spans="1:15" x14ac:dyDescent="0.3">
      <c r="A540" t="s">
        <v>2277</v>
      </c>
      <c r="B540" t="s">
        <v>1985</v>
      </c>
      <c r="C540" t="s">
        <v>1987</v>
      </c>
      <c r="D540">
        <v>5</v>
      </c>
      <c r="E540" t="s">
        <v>1447</v>
      </c>
      <c r="F540" t="s">
        <v>1972</v>
      </c>
      <c r="G540" t="s">
        <v>1748</v>
      </c>
      <c r="H540" t="s">
        <v>2279</v>
      </c>
      <c r="I540">
        <v>1</v>
      </c>
      <c r="J540" t="s">
        <v>2279</v>
      </c>
      <c r="K540" t="s">
        <v>2279</v>
      </c>
      <c r="L540" t="s">
        <v>2279</v>
      </c>
      <c r="M540" t="s">
        <v>2279</v>
      </c>
      <c r="N540" t="s">
        <v>2279</v>
      </c>
      <c r="O540" s="190" t="str">
        <f t="shared" si="8"/>
        <v>[S06_InstallationsVerificationReportsIssueDetail][5][NumberOfIssues]</v>
      </c>
    </row>
    <row r="541" spans="1:15" x14ac:dyDescent="0.3">
      <c r="A541" t="s">
        <v>2277</v>
      </c>
      <c r="B541" t="s">
        <v>1985</v>
      </c>
      <c r="C541" t="s">
        <v>1987</v>
      </c>
      <c r="D541">
        <v>1</v>
      </c>
      <c r="E541" t="s">
        <v>1447</v>
      </c>
      <c r="F541" t="s">
        <v>1990</v>
      </c>
      <c r="G541" t="s">
        <v>1806</v>
      </c>
      <c r="H541" t="s">
        <v>2279</v>
      </c>
      <c r="I541" t="s">
        <v>2279</v>
      </c>
      <c r="J541">
        <v>0</v>
      </c>
      <c r="K541" t="s">
        <v>2279</v>
      </c>
      <c r="L541" t="s">
        <v>2279</v>
      </c>
      <c r="M541" t="s">
        <v>2279</v>
      </c>
      <c r="N541" t="s">
        <v>2279</v>
      </c>
      <c r="O541" s="190" t="str">
        <f t="shared" si="8"/>
        <v>[S06_InstallationsVerificationReportsIssueDetail][1][ShareOfReportsConservativeEstimate]</v>
      </c>
    </row>
    <row r="542" spans="1:15" x14ac:dyDescent="0.3">
      <c r="A542" t="s">
        <v>2277</v>
      </c>
      <c r="B542" t="s">
        <v>1985</v>
      </c>
      <c r="C542" t="s">
        <v>1987</v>
      </c>
      <c r="D542">
        <v>2</v>
      </c>
      <c r="E542" t="s">
        <v>1447</v>
      </c>
      <c r="F542" t="s">
        <v>1990</v>
      </c>
      <c r="G542" t="s">
        <v>1806</v>
      </c>
      <c r="H542" t="s">
        <v>2279</v>
      </c>
      <c r="I542" t="s">
        <v>2279</v>
      </c>
      <c r="J542">
        <v>0</v>
      </c>
      <c r="K542" t="s">
        <v>2279</v>
      </c>
      <c r="L542" t="s">
        <v>2279</v>
      </c>
      <c r="M542" t="s">
        <v>2279</v>
      </c>
      <c r="N542" t="s">
        <v>2279</v>
      </c>
      <c r="O542" s="190" t="str">
        <f t="shared" si="8"/>
        <v>[S06_InstallationsVerificationReportsIssueDetail][2][ShareOfReportsConservativeEstimate]</v>
      </c>
    </row>
    <row r="543" spans="1:15" x14ac:dyDescent="0.3">
      <c r="A543" t="s">
        <v>2277</v>
      </c>
      <c r="B543" t="s">
        <v>1985</v>
      </c>
      <c r="C543" t="s">
        <v>1987</v>
      </c>
      <c r="D543">
        <v>3</v>
      </c>
      <c r="E543" t="s">
        <v>1447</v>
      </c>
      <c r="F543" t="s">
        <v>1990</v>
      </c>
      <c r="G543" t="s">
        <v>1806</v>
      </c>
      <c r="H543" t="s">
        <v>2279</v>
      </c>
      <c r="I543" t="s">
        <v>2279</v>
      </c>
      <c r="J543">
        <v>0</v>
      </c>
      <c r="K543" t="s">
        <v>2279</v>
      </c>
      <c r="L543" t="s">
        <v>2279</v>
      </c>
      <c r="M543" t="s">
        <v>2279</v>
      </c>
      <c r="N543" t="s">
        <v>2279</v>
      </c>
      <c r="O543" s="190" t="str">
        <f t="shared" si="8"/>
        <v>[S06_InstallationsVerificationReportsIssueDetail][3][ShareOfReportsConservativeEstimate]</v>
      </c>
    </row>
    <row r="544" spans="1:15" x14ac:dyDescent="0.3">
      <c r="A544" t="s">
        <v>2277</v>
      </c>
      <c r="B544" t="s">
        <v>1985</v>
      </c>
      <c r="C544" t="s">
        <v>1987</v>
      </c>
      <c r="D544">
        <v>4</v>
      </c>
      <c r="E544" t="s">
        <v>1447</v>
      </c>
      <c r="F544" t="s">
        <v>1990</v>
      </c>
      <c r="G544" t="s">
        <v>1806</v>
      </c>
      <c r="H544" t="s">
        <v>2279</v>
      </c>
      <c r="I544" t="s">
        <v>2279</v>
      </c>
      <c r="J544">
        <v>0</v>
      </c>
      <c r="K544" t="s">
        <v>2279</v>
      </c>
      <c r="L544" t="s">
        <v>2279</v>
      </c>
      <c r="M544" t="s">
        <v>2279</v>
      </c>
      <c r="N544" t="s">
        <v>2279</v>
      </c>
      <c r="O544" s="190" t="str">
        <f t="shared" si="8"/>
        <v>[S06_InstallationsVerificationReportsIssueDetail][4][ShareOfReportsConservativeEstimate]</v>
      </c>
    </row>
    <row r="545" spans="1:15" x14ac:dyDescent="0.3">
      <c r="A545" t="s">
        <v>2277</v>
      </c>
      <c r="B545" t="s">
        <v>1985</v>
      </c>
      <c r="C545" t="s">
        <v>1987</v>
      </c>
      <c r="D545">
        <v>5</v>
      </c>
      <c r="E545" t="s">
        <v>1447</v>
      </c>
      <c r="F545" t="s">
        <v>1990</v>
      </c>
      <c r="G545" t="s">
        <v>1806</v>
      </c>
      <c r="H545" t="s">
        <v>2279</v>
      </c>
      <c r="I545" t="s">
        <v>2279</v>
      </c>
      <c r="J545">
        <v>0</v>
      </c>
      <c r="K545" t="s">
        <v>2279</v>
      </c>
      <c r="L545" t="s">
        <v>2279</v>
      </c>
      <c r="M545" t="s">
        <v>2279</v>
      </c>
      <c r="N545" t="s">
        <v>2279</v>
      </c>
      <c r="O545" s="190" t="str">
        <f t="shared" si="8"/>
        <v>[S06_InstallationsVerificationReportsIssueDetail][5][ShareOfReportsConservativeEstimate]</v>
      </c>
    </row>
    <row r="546" spans="1:15" x14ac:dyDescent="0.3">
      <c r="A546" t="s">
        <v>2277</v>
      </c>
      <c r="B546" t="s">
        <v>1991</v>
      </c>
      <c r="C546" t="s">
        <v>1992</v>
      </c>
      <c r="D546">
        <v>0</v>
      </c>
      <c r="E546" t="s">
        <v>1447</v>
      </c>
      <c r="F546" t="s">
        <v>1992</v>
      </c>
      <c r="G546" t="s">
        <v>1759</v>
      </c>
      <c r="H546" t="s">
        <v>2279</v>
      </c>
      <c r="I546" t="s">
        <v>2279</v>
      </c>
      <c r="J546" t="s">
        <v>2279</v>
      </c>
      <c r="K546" t="s">
        <v>2279</v>
      </c>
      <c r="L546" t="s">
        <v>1419</v>
      </c>
      <c r="M546" t="s">
        <v>2279</v>
      </c>
      <c r="N546" t="s">
        <v>2279</v>
      </c>
      <c r="O546" s="190" t="str">
        <f t="shared" si="8"/>
        <v>[InstallationsVerificationReportChecks][0][InstallationsVerificationReportChecks]</v>
      </c>
    </row>
    <row r="547" spans="1:15" x14ac:dyDescent="0.3">
      <c r="A547" t="s">
        <v>2277</v>
      </c>
      <c r="B547" t="s">
        <v>1991</v>
      </c>
      <c r="C547" t="s">
        <v>1993</v>
      </c>
      <c r="D547">
        <v>1</v>
      </c>
      <c r="E547" t="s">
        <v>1447</v>
      </c>
      <c r="F547" t="s">
        <v>1994</v>
      </c>
      <c r="G547" t="s">
        <v>1806</v>
      </c>
      <c r="H547" t="s">
        <v>2279</v>
      </c>
      <c r="I547" t="s">
        <v>2279</v>
      </c>
      <c r="J547">
        <v>1</v>
      </c>
      <c r="K547" t="s">
        <v>2279</v>
      </c>
      <c r="L547" t="s">
        <v>2279</v>
      </c>
      <c r="M547" t="s">
        <v>2279</v>
      </c>
      <c r="N547" t="s">
        <v>2279</v>
      </c>
      <c r="O547" s="190" t="str">
        <f t="shared" si="8"/>
        <v>[S06_InstallationsVerificationReportChecksDetail1][1][PercentageShare]</v>
      </c>
    </row>
    <row r="548" spans="1:15" x14ac:dyDescent="0.3">
      <c r="A548" t="s">
        <v>2277</v>
      </c>
      <c r="B548" t="s">
        <v>1991</v>
      </c>
      <c r="C548" t="s">
        <v>1993</v>
      </c>
      <c r="D548">
        <v>2</v>
      </c>
      <c r="E548" t="s">
        <v>1447</v>
      </c>
      <c r="F548" t="s">
        <v>1994</v>
      </c>
      <c r="G548" t="s">
        <v>1806</v>
      </c>
      <c r="H548" t="s">
        <v>2279</v>
      </c>
      <c r="I548" t="s">
        <v>2279</v>
      </c>
      <c r="J548">
        <v>1</v>
      </c>
      <c r="K548" t="s">
        <v>2279</v>
      </c>
      <c r="L548" t="s">
        <v>2279</v>
      </c>
      <c r="M548" t="s">
        <v>2279</v>
      </c>
      <c r="N548" t="s">
        <v>2279</v>
      </c>
      <c r="O548" s="190" t="str">
        <f t="shared" si="8"/>
        <v>[S06_InstallationsVerificationReportChecksDetail1][2][PercentageShare]</v>
      </c>
    </row>
    <row r="549" spans="1:15" x14ac:dyDescent="0.3">
      <c r="A549" t="s">
        <v>2277</v>
      </c>
      <c r="B549" t="s">
        <v>1991</v>
      </c>
      <c r="C549" t="s">
        <v>1993</v>
      </c>
      <c r="D549">
        <v>3</v>
      </c>
      <c r="E549" t="s">
        <v>1447</v>
      </c>
      <c r="F549" t="s">
        <v>1994</v>
      </c>
      <c r="G549" t="s">
        <v>1806</v>
      </c>
      <c r="H549" t="s">
        <v>2279</v>
      </c>
      <c r="I549" t="s">
        <v>2279</v>
      </c>
      <c r="J549">
        <v>1</v>
      </c>
      <c r="K549" t="s">
        <v>2279</v>
      </c>
      <c r="L549" t="s">
        <v>2279</v>
      </c>
      <c r="M549" t="s">
        <v>2279</v>
      </c>
      <c r="N549" t="s">
        <v>2279</v>
      </c>
      <c r="O549" s="190" t="str">
        <f t="shared" si="8"/>
        <v>[S06_InstallationsVerificationReportChecksDetail1][3][PercentageShare]</v>
      </c>
    </row>
    <row r="550" spans="1:15" x14ac:dyDescent="0.3">
      <c r="A550" t="s">
        <v>2277</v>
      </c>
      <c r="B550" t="s">
        <v>1991</v>
      </c>
      <c r="C550" t="s">
        <v>1993</v>
      </c>
      <c r="D550">
        <v>4</v>
      </c>
      <c r="E550" t="s">
        <v>1447</v>
      </c>
      <c r="F550" t="s">
        <v>1994</v>
      </c>
      <c r="G550" t="s">
        <v>1806</v>
      </c>
      <c r="H550" t="s">
        <v>2279</v>
      </c>
      <c r="I550" t="s">
        <v>2279</v>
      </c>
      <c r="J550">
        <v>1</v>
      </c>
      <c r="K550" t="s">
        <v>2279</v>
      </c>
      <c r="L550" t="s">
        <v>2279</v>
      </c>
      <c r="M550" t="s">
        <v>2279</v>
      </c>
      <c r="N550" t="s">
        <v>2279</v>
      </c>
      <c r="O550" s="190" t="str">
        <f t="shared" si="8"/>
        <v>[S06_InstallationsVerificationReportChecksDetail1][4][PercentageShare]</v>
      </c>
    </row>
    <row r="551" spans="1:15" x14ac:dyDescent="0.3">
      <c r="A551" t="s">
        <v>2277</v>
      </c>
      <c r="B551" t="s">
        <v>1991</v>
      </c>
      <c r="C551" t="s">
        <v>1993</v>
      </c>
      <c r="D551">
        <v>5</v>
      </c>
      <c r="E551" t="s">
        <v>1447</v>
      </c>
      <c r="F551" t="s">
        <v>1994</v>
      </c>
      <c r="G551" t="s">
        <v>1806</v>
      </c>
      <c r="H551" t="s">
        <v>2279</v>
      </c>
      <c r="I551" t="s">
        <v>2279</v>
      </c>
      <c r="J551">
        <v>0.08</v>
      </c>
      <c r="K551" t="s">
        <v>2279</v>
      </c>
      <c r="L551" t="s">
        <v>2279</v>
      </c>
      <c r="M551" t="s">
        <v>2279</v>
      </c>
      <c r="N551" t="s">
        <v>2279</v>
      </c>
      <c r="O551" s="190" t="str">
        <f t="shared" si="8"/>
        <v>[S06_InstallationsVerificationReportChecksDetail1][5][PercentageShare]</v>
      </c>
    </row>
    <row r="552" spans="1:15" x14ac:dyDescent="0.3">
      <c r="A552" t="s">
        <v>2277</v>
      </c>
      <c r="B552" t="s">
        <v>1991</v>
      </c>
      <c r="C552" t="s">
        <v>1993</v>
      </c>
      <c r="D552">
        <v>4</v>
      </c>
      <c r="E552" t="s">
        <v>1447</v>
      </c>
      <c r="F552" t="s">
        <v>1995</v>
      </c>
      <c r="G552" t="s">
        <v>1791</v>
      </c>
      <c r="H552" t="s">
        <v>2279</v>
      </c>
      <c r="I552" t="s">
        <v>2279</v>
      </c>
      <c r="J552" t="s">
        <v>2279</v>
      </c>
      <c r="K552" t="s">
        <v>2333</v>
      </c>
      <c r="L552" t="s">
        <v>2279</v>
      </c>
      <c r="M552" t="s">
        <v>2279</v>
      </c>
      <c r="N552" t="s">
        <v>2279</v>
      </c>
      <c r="O552" s="190" t="str">
        <f t="shared" si="8"/>
        <v>[S06_InstallationsVerificationReportChecksDetail1][4][FurtherInformation]</v>
      </c>
    </row>
    <row r="553" spans="1:15" x14ac:dyDescent="0.3">
      <c r="A553" t="s">
        <v>2277</v>
      </c>
      <c r="B553" t="s">
        <v>1991</v>
      </c>
      <c r="C553" t="s">
        <v>1993</v>
      </c>
      <c r="D553">
        <v>5</v>
      </c>
      <c r="E553" t="s">
        <v>1447</v>
      </c>
      <c r="F553" t="s">
        <v>1996</v>
      </c>
      <c r="G553" t="s">
        <v>1737</v>
      </c>
      <c r="H553" t="s">
        <v>2279</v>
      </c>
      <c r="I553" t="s">
        <v>2279</v>
      </c>
      <c r="J553" t="s">
        <v>2279</v>
      </c>
      <c r="K553" t="s">
        <v>2279</v>
      </c>
      <c r="L553" t="s">
        <v>1513</v>
      </c>
      <c r="M553" t="s">
        <v>2279</v>
      </c>
      <c r="N553" t="s">
        <v>2279</v>
      </c>
      <c r="O553" s="190" t="str">
        <f t="shared" si="8"/>
        <v>[S06_InstallationsVerificationReportChecksDetail1][5][SelectingCriteria]</v>
      </c>
    </row>
    <row r="554" spans="1:15" x14ac:dyDescent="0.3">
      <c r="A554" t="s">
        <v>2277</v>
      </c>
      <c r="B554" t="s">
        <v>1991</v>
      </c>
      <c r="C554" t="s">
        <v>1997</v>
      </c>
      <c r="D554">
        <v>1</v>
      </c>
      <c r="E554" t="s">
        <v>1447</v>
      </c>
      <c r="F554" t="s">
        <v>1998</v>
      </c>
      <c r="G554" t="s">
        <v>1748</v>
      </c>
      <c r="H554" t="s">
        <v>2279</v>
      </c>
      <c r="I554">
        <v>0</v>
      </c>
      <c r="J554" t="s">
        <v>2279</v>
      </c>
      <c r="K554" t="s">
        <v>2279</v>
      </c>
      <c r="L554" t="s">
        <v>2279</v>
      </c>
      <c r="M554" t="s">
        <v>2279</v>
      </c>
      <c r="N554" t="s">
        <v>2279</v>
      </c>
      <c r="O554" s="190" t="str">
        <f t="shared" si="8"/>
        <v>[S06_InstallationsVerificationReportChecksDetail2][1][NumberOfReports]</v>
      </c>
    </row>
    <row r="555" spans="1:15" x14ac:dyDescent="0.3">
      <c r="A555" t="s">
        <v>2277</v>
      </c>
      <c r="B555" t="s">
        <v>1991</v>
      </c>
      <c r="C555" t="s">
        <v>1997</v>
      </c>
      <c r="D555">
        <v>2</v>
      </c>
      <c r="E555" t="s">
        <v>1447</v>
      </c>
      <c r="F555" t="s">
        <v>1998</v>
      </c>
      <c r="G555" t="s">
        <v>1748</v>
      </c>
      <c r="H555" t="s">
        <v>2279</v>
      </c>
      <c r="I555">
        <v>0</v>
      </c>
      <c r="J555" t="s">
        <v>2279</v>
      </c>
      <c r="K555" t="s">
        <v>2279</v>
      </c>
      <c r="L555" t="s">
        <v>2279</v>
      </c>
      <c r="M555" t="s">
        <v>2279</v>
      </c>
      <c r="N555" t="s">
        <v>2279</v>
      </c>
      <c r="O555" s="190" t="str">
        <f t="shared" si="8"/>
        <v>[S06_InstallationsVerificationReportChecksDetail2][2][NumberOfReports]</v>
      </c>
    </row>
    <row r="556" spans="1:15" x14ac:dyDescent="0.3">
      <c r="A556" t="s">
        <v>2277</v>
      </c>
      <c r="B556" t="s">
        <v>1991</v>
      </c>
      <c r="C556" t="s">
        <v>1999</v>
      </c>
      <c r="D556">
        <v>1</v>
      </c>
      <c r="E556" t="s">
        <v>1447</v>
      </c>
      <c r="F556" t="s">
        <v>2000</v>
      </c>
      <c r="G556" t="s">
        <v>1741</v>
      </c>
      <c r="H556" t="s">
        <v>2334</v>
      </c>
      <c r="I556" t="s">
        <v>2279</v>
      </c>
      <c r="J556" t="s">
        <v>2279</v>
      </c>
      <c r="K556" t="s">
        <v>2279</v>
      </c>
      <c r="L556" t="s">
        <v>2279</v>
      </c>
      <c r="M556" t="s">
        <v>2279</v>
      </c>
      <c r="N556" t="s">
        <v>2279</v>
      </c>
      <c r="O556" s="190" t="str">
        <f t="shared" si="8"/>
        <v>[S06_InstallationsVerificationReportChecksDetail3][1][ActionsTaken]</v>
      </c>
    </row>
    <row r="557" spans="1:15" x14ac:dyDescent="0.3">
      <c r="A557" t="s">
        <v>2277</v>
      </c>
      <c r="B557" t="s">
        <v>1991</v>
      </c>
      <c r="C557" t="s">
        <v>1999</v>
      </c>
      <c r="D557">
        <v>2</v>
      </c>
      <c r="E557" t="s">
        <v>1419</v>
      </c>
      <c r="F557" t="s">
        <v>2000</v>
      </c>
      <c r="G557" t="s">
        <v>1791</v>
      </c>
      <c r="H557" t="s">
        <v>2279</v>
      </c>
      <c r="I557" t="s">
        <v>2279</v>
      </c>
      <c r="J557" t="s">
        <v>2279</v>
      </c>
      <c r="K557" t="s">
        <v>2335</v>
      </c>
      <c r="L557" t="s">
        <v>2279</v>
      </c>
      <c r="M557" t="s">
        <v>2279</v>
      </c>
      <c r="N557" t="s">
        <v>2279</v>
      </c>
      <c r="O557" s="190" t="str">
        <f t="shared" si="8"/>
        <v>[S06_InstallationsVerificationReportChecksDetail3][2][ActionsTaken]</v>
      </c>
    </row>
    <row r="558" spans="1:15" x14ac:dyDescent="0.3">
      <c r="A558" t="s">
        <v>2277</v>
      </c>
      <c r="B558" t="s">
        <v>2001</v>
      </c>
      <c r="C558" t="s">
        <v>2002</v>
      </c>
      <c r="D558">
        <v>0</v>
      </c>
      <c r="E558" t="s">
        <v>1447</v>
      </c>
      <c r="F558" t="s">
        <v>2002</v>
      </c>
      <c r="G558" t="s">
        <v>1759</v>
      </c>
      <c r="H558" t="s">
        <v>2279</v>
      </c>
      <c r="I558" t="s">
        <v>2279</v>
      </c>
      <c r="J558" t="s">
        <v>2279</v>
      </c>
      <c r="K558" t="s">
        <v>2279</v>
      </c>
      <c r="L558" t="s">
        <v>1447</v>
      </c>
      <c r="M558" t="s">
        <v>2279</v>
      </c>
      <c r="N558" t="s">
        <v>2279</v>
      </c>
      <c r="O558" s="190" t="str">
        <f t="shared" si="8"/>
        <v>[InstallationVisitsWaivedHighEmitters][0][InstallationVisitsWaivedHighEmitters]</v>
      </c>
    </row>
    <row r="559" spans="1:15" x14ac:dyDescent="0.3">
      <c r="A559" t="s">
        <v>2277</v>
      </c>
      <c r="B559" t="s">
        <v>2001</v>
      </c>
      <c r="C559" t="s">
        <v>2005</v>
      </c>
      <c r="D559">
        <v>0</v>
      </c>
      <c r="E559" t="s">
        <v>1447</v>
      </c>
      <c r="F559" t="s">
        <v>2005</v>
      </c>
      <c r="G559" t="s">
        <v>1759</v>
      </c>
      <c r="H559" t="s">
        <v>2279</v>
      </c>
      <c r="I559" t="s">
        <v>2279</v>
      </c>
      <c r="J559" t="s">
        <v>2279</v>
      </c>
      <c r="K559" t="s">
        <v>2279</v>
      </c>
      <c r="L559" t="s">
        <v>1447</v>
      </c>
      <c r="M559" t="s">
        <v>2279</v>
      </c>
      <c r="N559" t="s">
        <v>2279</v>
      </c>
      <c r="O559" s="190" t="str">
        <f t="shared" si="8"/>
        <v>[InstallationsVisitsWaivedLowEmitters][0][InstallationsVisitsWaivedLowEmitters]</v>
      </c>
    </row>
    <row r="560" spans="1:15" x14ac:dyDescent="0.3">
      <c r="A560" t="s">
        <v>2277</v>
      </c>
      <c r="B560" t="s">
        <v>2007</v>
      </c>
      <c r="C560" t="s">
        <v>2008</v>
      </c>
      <c r="D560">
        <v>0</v>
      </c>
      <c r="E560" t="s">
        <v>1447</v>
      </c>
      <c r="F560" t="s">
        <v>2008</v>
      </c>
      <c r="G560" t="s">
        <v>1759</v>
      </c>
      <c r="H560" t="s">
        <v>2279</v>
      </c>
      <c r="I560" t="s">
        <v>2279</v>
      </c>
      <c r="J560" t="s">
        <v>2279</v>
      </c>
      <c r="K560" t="s">
        <v>2279</v>
      </c>
      <c r="L560" t="s">
        <v>1447</v>
      </c>
      <c r="M560" t="s">
        <v>2279</v>
      </c>
      <c r="N560" t="s">
        <v>2279</v>
      </c>
      <c r="O560" s="190" t="str">
        <f t="shared" si="8"/>
        <v>[VirtualVisitsInstallations][0][VirtualVisitsInstallations]</v>
      </c>
    </row>
    <row r="561" spans="1:15" x14ac:dyDescent="0.3">
      <c r="A561" t="s">
        <v>2277</v>
      </c>
      <c r="B561" t="s">
        <v>2014</v>
      </c>
      <c r="C561" t="s">
        <v>2020</v>
      </c>
      <c r="D561">
        <v>1</v>
      </c>
      <c r="E561" t="s">
        <v>1447</v>
      </c>
      <c r="F561" t="s">
        <v>1984</v>
      </c>
      <c r="G561" t="s">
        <v>1748</v>
      </c>
      <c r="H561" t="s">
        <v>2279</v>
      </c>
      <c r="I561">
        <v>0</v>
      </c>
      <c r="J561" t="s">
        <v>2279</v>
      </c>
      <c r="K561" t="s">
        <v>2279</v>
      </c>
      <c r="L561" t="s">
        <v>2279</v>
      </c>
      <c r="M561" t="s">
        <v>2279</v>
      </c>
      <c r="N561" t="s">
        <v>2279</v>
      </c>
      <c r="O561" s="190" t="str">
        <f t="shared" si="8"/>
        <v>[S06_NegativeOpinionAircraft][1][CountNegativeOpinions]</v>
      </c>
    </row>
    <row r="562" spans="1:15" x14ac:dyDescent="0.3">
      <c r="A562" t="s">
        <v>2277</v>
      </c>
      <c r="B562" t="s">
        <v>2014</v>
      </c>
      <c r="C562" t="s">
        <v>2020</v>
      </c>
      <c r="D562">
        <v>2</v>
      </c>
      <c r="E562" t="s">
        <v>1447</v>
      </c>
      <c r="F562" t="s">
        <v>1984</v>
      </c>
      <c r="G562" t="s">
        <v>1748</v>
      </c>
      <c r="H562" t="s">
        <v>2279</v>
      </c>
      <c r="I562">
        <v>0</v>
      </c>
      <c r="J562" t="s">
        <v>2279</v>
      </c>
      <c r="K562" t="s">
        <v>2279</v>
      </c>
      <c r="L562" t="s">
        <v>2279</v>
      </c>
      <c r="M562" t="s">
        <v>2279</v>
      </c>
      <c r="N562" t="s">
        <v>2279</v>
      </c>
      <c r="O562" s="190" t="str">
        <f t="shared" si="8"/>
        <v>[S06_NegativeOpinionAircraft][2][CountNegativeOpinions]</v>
      </c>
    </row>
    <row r="563" spans="1:15" x14ac:dyDescent="0.3">
      <c r="A563" t="s">
        <v>2277</v>
      </c>
      <c r="B563" t="s">
        <v>2014</v>
      </c>
      <c r="C563" t="s">
        <v>2020</v>
      </c>
      <c r="D563">
        <v>3</v>
      </c>
      <c r="E563" t="s">
        <v>1447</v>
      </c>
      <c r="F563" t="s">
        <v>1984</v>
      </c>
      <c r="G563" t="s">
        <v>1748</v>
      </c>
      <c r="H563" t="s">
        <v>2279</v>
      </c>
      <c r="I563">
        <v>0</v>
      </c>
      <c r="J563" t="s">
        <v>2279</v>
      </c>
      <c r="K563" t="s">
        <v>2279</v>
      </c>
      <c r="L563" t="s">
        <v>2279</v>
      </c>
      <c r="M563" t="s">
        <v>2279</v>
      </c>
      <c r="N563" t="s">
        <v>2279</v>
      </c>
      <c r="O563" s="190" t="str">
        <f t="shared" si="8"/>
        <v>[S06_NegativeOpinionAircraft][3][CountNegativeOpinions]</v>
      </c>
    </row>
    <row r="564" spans="1:15" x14ac:dyDescent="0.3">
      <c r="A564" t="s">
        <v>2277</v>
      </c>
      <c r="B564" t="s">
        <v>2014</v>
      </c>
      <c r="C564" t="s">
        <v>2020</v>
      </c>
      <c r="D564">
        <v>4</v>
      </c>
      <c r="E564" t="s">
        <v>1447</v>
      </c>
      <c r="F564" t="s">
        <v>1984</v>
      </c>
      <c r="G564" t="s">
        <v>1748</v>
      </c>
      <c r="H564" t="s">
        <v>2279</v>
      </c>
      <c r="I564">
        <v>0</v>
      </c>
      <c r="J564" t="s">
        <v>2279</v>
      </c>
      <c r="K564" t="s">
        <v>2279</v>
      </c>
      <c r="L564" t="s">
        <v>2279</v>
      </c>
      <c r="M564" t="s">
        <v>2279</v>
      </c>
      <c r="N564" t="s">
        <v>2279</v>
      </c>
      <c r="O564" s="190" t="str">
        <f t="shared" si="8"/>
        <v>[S06_NegativeOpinionAircraft][4][CountNegativeOpinions]</v>
      </c>
    </row>
    <row r="565" spans="1:15" x14ac:dyDescent="0.3">
      <c r="A565" t="s">
        <v>2277</v>
      </c>
      <c r="B565" t="s">
        <v>2021</v>
      </c>
      <c r="C565" t="s">
        <v>2022</v>
      </c>
      <c r="D565">
        <v>0</v>
      </c>
      <c r="E565" t="s">
        <v>1447</v>
      </c>
      <c r="F565" t="s">
        <v>2022</v>
      </c>
      <c r="G565" t="s">
        <v>1759</v>
      </c>
      <c r="H565" t="s">
        <v>2279</v>
      </c>
      <c r="I565" t="s">
        <v>2279</v>
      </c>
      <c r="J565" t="s">
        <v>2279</v>
      </c>
      <c r="K565" t="s">
        <v>2279</v>
      </c>
      <c r="L565" t="s">
        <v>1447</v>
      </c>
      <c r="M565" t="s">
        <v>2279</v>
      </c>
      <c r="N565" t="s">
        <v>2279</v>
      </c>
      <c r="O565" s="190" t="str">
        <f t="shared" si="8"/>
        <v>[AircraftOperatorsVerificationReportIssues][0][AircraftOperatorsVerificationReportIssues]</v>
      </c>
    </row>
    <row r="566" spans="1:15" x14ac:dyDescent="0.3">
      <c r="A566" t="s">
        <v>2277</v>
      </c>
      <c r="B566" t="s">
        <v>2026</v>
      </c>
      <c r="C566" t="s">
        <v>2027</v>
      </c>
      <c r="D566">
        <v>0</v>
      </c>
      <c r="E566" t="s">
        <v>1447</v>
      </c>
      <c r="F566" t="s">
        <v>2027</v>
      </c>
      <c r="G566" t="s">
        <v>1759</v>
      </c>
      <c r="H566" t="s">
        <v>2279</v>
      </c>
      <c r="I566" t="s">
        <v>2279</v>
      </c>
      <c r="J566" t="s">
        <v>2279</v>
      </c>
      <c r="K566" t="s">
        <v>2279</v>
      </c>
      <c r="L566" t="s">
        <v>1419</v>
      </c>
      <c r="M566" t="s">
        <v>2279</v>
      </c>
      <c r="N566" t="s">
        <v>2279</v>
      </c>
      <c r="O566" s="190" t="str">
        <f t="shared" si="8"/>
        <v>[AircraftOperatorsVerificationReportChecks][0][AircraftOperatorsVerificationReportChecks]</v>
      </c>
    </row>
    <row r="567" spans="1:15" x14ac:dyDescent="0.3">
      <c r="A567" t="s">
        <v>2277</v>
      </c>
      <c r="B567" t="s">
        <v>2026</v>
      </c>
      <c r="C567" t="s">
        <v>2028</v>
      </c>
      <c r="D567">
        <v>1</v>
      </c>
      <c r="E567" t="s">
        <v>1447</v>
      </c>
      <c r="F567" t="s">
        <v>1994</v>
      </c>
      <c r="G567" t="s">
        <v>1806</v>
      </c>
      <c r="H567" t="s">
        <v>2279</v>
      </c>
      <c r="I567" t="s">
        <v>2279</v>
      </c>
      <c r="J567">
        <v>1</v>
      </c>
      <c r="K567" t="s">
        <v>2279</v>
      </c>
      <c r="L567" t="s">
        <v>2279</v>
      </c>
      <c r="M567" t="s">
        <v>2279</v>
      </c>
      <c r="N567" t="s">
        <v>2279</v>
      </c>
      <c r="O567" s="190" t="str">
        <f t="shared" si="8"/>
        <v>[S06_AircraftOperatorsVerificationEmissionReportChecks1][1][PercentageShare]</v>
      </c>
    </row>
    <row r="568" spans="1:15" x14ac:dyDescent="0.3">
      <c r="A568" t="s">
        <v>2277</v>
      </c>
      <c r="B568" t="s">
        <v>2026</v>
      </c>
      <c r="C568" t="s">
        <v>2028</v>
      </c>
      <c r="D568">
        <v>2</v>
      </c>
      <c r="E568" t="s">
        <v>1447</v>
      </c>
      <c r="F568" t="s">
        <v>1994</v>
      </c>
      <c r="G568" t="s">
        <v>1806</v>
      </c>
      <c r="H568" t="s">
        <v>2279</v>
      </c>
      <c r="I568" t="s">
        <v>2279</v>
      </c>
      <c r="J568">
        <v>1</v>
      </c>
      <c r="K568" t="s">
        <v>2279</v>
      </c>
      <c r="L568" t="s">
        <v>2279</v>
      </c>
      <c r="M568" t="s">
        <v>2279</v>
      </c>
      <c r="N568" t="s">
        <v>2279</v>
      </c>
      <c r="O568" s="190" t="str">
        <f t="shared" si="8"/>
        <v>[S06_AircraftOperatorsVerificationEmissionReportChecks1][2][PercentageShare]</v>
      </c>
    </row>
    <row r="569" spans="1:15" x14ac:dyDescent="0.3">
      <c r="A569" t="s">
        <v>2277</v>
      </c>
      <c r="B569" t="s">
        <v>2026</v>
      </c>
      <c r="C569" t="s">
        <v>2028</v>
      </c>
      <c r="D569">
        <v>3</v>
      </c>
      <c r="E569" t="s">
        <v>1447</v>
      </c>
      <c r="F569" t="s">
        <v>1994</v>
      </c>
      <c r="G569" t="s">
        <v>1806</v>
      </c>
      <c r="H569" t="s">
        <v>2279</v>
      </c>
      <c r="I569" t="s">
        <v>2279</v>
      </c>
      <c r="J569">
        <v>1</v>
      </c>
      <c r="K569" t="s">
        <v>2279</v>
      </c>
      <c r="L569" t="s">
        <v>2279</v>
      </c>
      <c r="M569" t="s">
        <v>2279</v>
      </c>
      <c r="N569" t="s">
        <v>2279</v>
      </c>
      <c r="O569" s="190" t="str">
        <f t="shared" si="8"/>
        <v>[S06_AircraftOperatorsVerificationEmissionReportChecks1][3][PercentageShare]</v>
      </c>
    </row>
    <row r="570" spans="1:15" x14ac:dyDescent="0.3">
      <c r="A570" t="s">
        <v>2277</v>
      </c>
      <c r="B570" t="s">
        <v>2026</v>
      </c>
      <c r="C570" t="s">
        <v>2028</v>
      </c>
      <c r="D570">
        <v>4</v>
      </c>
      <c r="E570" t="s">
        <v>1447</v>
      </c>
      <c r="F570" t="s">
        <v>1994</v>
      </c>
      <c r="G570" t="s">
        <v>1806</v>
      </c>
      <c r="H570" t="s">
        <v>2279</v>
      </c>
      <c r="I570" t="s">
        <v>2279</v>
      </c>
      <c r="J570">
        <v>1</v>
      </c>
      <c r="K570" t="s">
        <v>2279</v>
      </c>
      <c r="L570" t="s">
        <v>2279</v>
      </c>
      <c r="M570" t="s">
        <v>2279</v>
      </c>
      <c r="N570" t="s">
        <v>2279</v>
      </c>
      <c r="O570" s="190" t="str">
        <f t="shared" si="8"/>
        <v>[S06_AircraftOperatorsVerificationEmissionReportChecks1][4][PercentageShare]</v>
      </c>
    </row>
    <row r="571" spans="1:15" x14ac:dyDescent="0.3">
      <c r="A571" t="s">
        <v>2277</v>
      </c>
      <c r="B571" t="s">
        <v>2026</v>
      </c>
      <c r="C571" t="s">
        <v>2028</v>
      </c>
      <c r="D571">
        <v>4</v>
      </c>
      <c r="E571" t="s">
        <v>1447</v>
      </c>
      <c r="F571" t="s">
        <v>1996</v>
      </c>
      <c r="G571" t="s">
        <v>1737</v>
      </c>
      <c r="H571" t="s">
        <v>2279</v>
      </c>
      <c r="I571" t="s">
        <v>2279</v>
      </c>
      <c r="J571" t="s">
        <v>2279</v>
      </c>
      <c r="K571" t="s">
        <v>2279</v>
      </c>
      <c r="L571" t="s">
        <v>1495</v>
      </c>
      <c r="M571" t="s">
        <v>2279</v>
      </c>
      <c r="N571" t="s">
        <v>2279</v>
      </c>
      <c r="O571" s="190" t="str">
        <f t="shared" si="8"/>
        <v>[S06_AircraftOperatorsVerificationEmissionReportChecks1][4][SelectingCriteria]</v>
      </c>
    </row>
    <row r="572" spans="1:15" x14ac:dyDescent="0.3">
      <c r="A572" t="s">
        <v>2277</v>
      </c>
      <c r="B572" t="s">
        <v>2026</v>
      </c>
      <c r="C572" t="s">
        <v>2029</v>
      </c>
      <c r="D572">
        <v>1</v>
      </c>
      <c r="E572" t="s">
        <v>1447</v>
      </c>
      <c r="F572" t="s">
        <v>1998</v>
      </c>
      <c r="G572" t="s">
        <v>1748</v>
      </c>
      <c r="H572" t="s">
        <v>2279</v>
      </c>
      <c r="I572">
        <v>0</v>
      </c>
      <c r="J572" t="s">
        <v>2279</v>
      </c>
      <c r="K572" t="s">
        <v>2279</v>
      </c>
      <c r="L572" t="s">
        <v>2279</v>
      </c>
      <c r="M572" t="s">
        <v>2279</v>
      </c>
      <c r="N572" t="s">
        <v>2279</v>
      </c>
      <c r="O572" s="190" t="str">
        <f t="shared" si="8"/>
        <v>[S06_AircraftOperatorsVerificationEmissionReportChecks2][1][NumberOfReports]</v>
      </c>
    </row>
    <row r="573" spans="1:15" x14ac:dyDescent="0.3">
      <c r="A573" t="s">
        <v>2277</v>
      </c>
      <c r="B573" t="s">
        <v>2026</v>
      </c>
      <c r="C573" t="s">
        <v>2029</v>
      </c>
      <c r="D573">
        <v>2</v>
      </c>
      <c r="E573" t="s">
        <v>1447</v>
      </c>
      <c r="F573" t="s">
        <v>1998</v>
      </c>
      <c r="G573" t="s">
        <v>1748</v>
      </c>
      <c r="H573" t="s">
        <v>2279</v>
      </c>
      <c r="I573">
        <v>0</v>
      </c>
      <c r="J573" t="s">
        <v>2279</v>
      </c>
      <c r="K573" t="s">
        <v>2279</v>
      </c>
      <c r="L573" t="s">
        <v>2279</v>
      </c>
      <c r="M573" t="s">
        <v>2279</v>
      </c>
      <c r="N573" t="s">
        <v>2279</v>
      </c>
      <c r="O573" s="190" t="str">
        <f t="shared" si="8"/>
        <v>[S06_AircraftOperatorsVerificationEmissionReportChecks2][2][NumberOfReports]</v>
      </c>
    </row>
    <row r="574" spans="1:15" x14ac:dyDescent="0.3">
      <c r="A574" t="s">
        <v>2277</v>
      </c>
      <c r="B574" t="s">
        <v>2034</v>
      </c>
      <c r="C574" t="s">
        <v>2035</v>
      </c>
      <c r="D574">
        <v>0</v>
      </c>
      <c r="E574" t="s">
        <v>1447</v>
      </c>
      <c r="F574" t="s">
        <v>2035</v>
      </c>
      <c r="G574" t="s">
        <v>1759</v>
      </c>
      <c r="H574" t="s">
        <v>2279</v>
      </c>
      <c r="I574" t="s">
        <v>2279</v>
      </c>
      <c r="J574" t="s">
        <v>2279</v>
      </c>
      <c r="K574" t="s">
        <v>2279</v>
      </c>
      <c r="L574" t="s">
        <v>1447</v>
      </c>
      <c r="M574" t="s">
        <v>2279</v>
      </c>
      <c r="N574" t="s">
        <v>2279</v>
      </c>
      <c r="O574" s="190" t="str">
        <f t="shared" si="8"/>
        <v>[AircraftOperatorsVisitsWaivedLowEmitters][0][AircraftOperatorsVisitsWaivedLowEmitters]</v>
      </c>
    </row>
    <row r="575" spans="1:15" x14ac:dyDescent="0.3">
      <c r="A575" t="s">
        <v>2277</v>
      </c>
      <c r="B575" t="s">
        <v>2037</v>
      </c>
      <c r="C575" t="s">
        <v>2038</v>
      </c>
      <c r="D575">
        <v>0</v>
      </c>
      <c r="E575" t="s">
        <v>1447</v>
      </c>
      <c r="F575" t="s">
        <v>2038</v>
      </c>
      <c r="G575" t="s">
        <v>1759</v>
      </c>
      <c r="H575" t="s">
        <v>2279</v>
      </c>
      <c r="I575" t="s">
        <v>2279</v>
      </c>
      <c r="J575" t="s">
        <v>2279</v>
      </c>
      <c r="K575" t="s">
        <v>2279</v>
      </c>
      <c r="L575" t="s">
        <v>1447</v>
      </c>
      <c r="M575" t="s">
        <v>2279</v>
      </c>
      <c r="N575" t="s">
        <v>2279</v>
      </c>
      <c r="O575" s="190" t="str">
        <f t="shared" si="8"/>
        <v>[VirtualVisitsAircraft][0][VirtualVisitsAircraft]</v>
      </c>
    </row>
    <row r="576" spans="1:15" x14ac:dyDescent="0.3">
      <c r="A576" t="s">
        <v>2277</v>
      </c>
      <c r="B576" t="s">
        <v>2041</v>
      </c>
      <c r="C576" t="s">
        <v>2042</v>
      </c>
      <c r="D576">
        <v>1</v>
      </c>
      <c r="E576" t="s">
        <v>1447</v>
      </c>
      <c r="F576" t="s">
        <v>2043</v>
      </c>
      <c r="G576" t="s">
        <v>1741</v>
      </c>
      <c r="H576" t="s">
        <v>2336</v>
      </c>
      <c r="I576" t="s">
        <v>2279</v>
      </c>
      <c r="J576" t="s">
        <v>2279</v>
      </c>
      <c r="K576" t="s">
        <v>2279</v>
      </c>
      <c r="L576" t="s">
        <v>2279</v>
      </c>
      <c r="M576" t="s">
        <v>2279</v>
      </c>
      <c r="N576" t="s">
        <v>2279</v>
      </c>
      <c r="O576" s="190" t="str">
        <f t="shared" si="8"/>
        <v>[S07_NoFurtherAllowancesSurrendered][1][InstallationIDCode]</v>
      </c>
    </row>
    <row r="577" spans="1:15" x14ac:dyDescent="0.3">
      <c r="A577" t="s">
        <v>2277</v>
      </c>
      <c r="B577" t="s">
        <v>2041</v>
      </c>
      <c r="C577" t="s">
        <v>2042</v>
      </c>
      <c r="D577">
        <v>1</v>
      </c>
      <c r="E577" t="s">
        <v>1447</v>
      </c>
      <c r="F577" t="s">
        <v>2044</v>
      </c>
      <c r="G577" t="s">
        <v>1741</v>
      </c>
      <c r="H577" t="s">
        <v>2336</v>
      </c>
      <c r="I577" t="s">
        <v>2279</v>
      </c>
      <c r="J577" t="s">
        <v>2279</v>
      </c>
      <c r="K577" t="s">
        <v>2279</v>
      </c>
      <c r="L577" t="s">
        <v>2279</v>
      </c>
      <c r="M577" t="s">
        <v>2279</v>
      </c>
      <c r="N577" t="s">
        <v>2279</v>
      </c>
      <c r="O577" s="190" t="str">
        <f t="shared" si="8"/>
        <v>[S07_NoFurtherAllowancesSurrendered][1][OperatorName]</v>
      </c>
    </row>
    <row r="578" spans="1:15" x14ac:dyDescent="0.3">
      <c r="A578" t="s">
        <v>2277</v>
      </c>
      <c r="B578" t="s">
        <v>2041</v>
      </c>
      <c r="C578" t="s">
        <v>2042</v>
      </c>
      <c r="D578">
        <v>1</v>
      </c>
      <c r="E578" t="s">
        <v>1447</v>
      </c>
      <c r="F578" t="s">
        <v>2045</v>
      </c>
      <c r="G578" t="s">
        <v>1741</v>
      </c>
      <c r="H578" t="s">
        <v>2336</v>
      </c>
      <c r="I578" t="s">
        <v>2279</v>
      </c>
      <c r="J578" t="s">
        <v>2279</v>
      </c>
      <c r="K578" t="s">
        <v>2279</v>
      </c>
      <c r="L578" t="s">
        <v>2279</v>
      </c>
      <c r="M578" t="s">
        <v>2279</v>
      </c>
      <c r="N578" t="s">
        <v>2279</v>
      </c>
      <c r="O578" s="190" t="str">
        <f t="shared" ref="O578:O641" si="9">"["&amp;$C578&amp;"]["&amp;$D578&amp;"]["&amp;$F578&amp;"]"</f>
        <v>[S07_NoFurtherAllowancesSurrendered][1][InstallationName]</v>
      </c>
    </row>
    <row r="579" spans="1:15" x14ac:dyDescent="0.3">
      <c r="A579" t="s">
        <v>2277</v>
      </c>
      <c r="B579" t="s">
        <v>2041</v>
      </c>
      <c r="C579" t="s">
        <v>2042</v>
      </c>
      <c r="D579">
        <v>1</v>
      </c>
      <c r="E579" t="s">
        <v>1447</v>
      </c>
      <c r="F579" t="s">
        <v>2046</v>
      </c>
      <c r="G579" t="s">
        <v>1748</v>
      </c>
      <c r="H579" t="s">
        <v>2279</v>
      </c>
      <c r="I579">
        <v>0</v>
      </c>
      <c r="J579" t="s">
        <v>2279</v>
      </c>
      <c r="K579" t="s">
        <v>2279</v>
      </c>
      <c r="L579" t="s">
        <v>2279</v>
      </c>
      <c r="M579" t="s">
        <v>2279</v>
      </c>
      <c r="N579" t="s">
        <v>2279</v>
      </c>
      <c r="O579" s="190" t="str">
        <f t="shared" si="9"/>
        <v>[S07_NoFurtherAllowancesSurrendered][1][OutstandingAllowances]</v>
      </c>
    </row>
    <row r="580" spans="1:15" x14ac:dyDescent="0.3">
      <c r="A580" t="s">
        <v>2277</v>
      </c>
      <c r="B580" t="s">
        <v>2041</v>
      </c>
      <c r="C580" t="s">
        <v>2042</v>
      </c>
      <c r="D580">
        <v>1</v>
      </c>
      <c r="E580" t="s">
        <v>1447</v>
      </c>
      <c r="F580" t="s">
        <v>2047</v>
      </c>
      <c r="G580" t="s">
        <v>1741</v>
      </c>
      <c r="H580" t="s">
        <v>2336</v>
      </c>
      <c r="I580" t="s">
        <v>2279</v>
      </c>
      <c r="J580" t="s">
        <v>2279</v>
      </c>
      <c r="K580" t="s">
        <v>2279</v>
      </c>
      <c r="L580" t="s">
        <v>2279</v>
      </c>
      <c r="M580" t="s">
        <v>2279</v>
      </c>
      <c r="N580" t="s">
        <v>2279</v>
      </c>
      <c r="O580" s="190" t="str">
        <f t="shared" si="9"/>
        <v>[S07_NoFurtherAllowancesSurrendered][1][ReasonNoFurtherAllowancesSurrendered]</v>
      </c>
    </row>
    <row r="581" spans="1:15" x14ac:dyDescent="0.3">
      <c r="A581" t="s">
        <v>2277</v>
      </c>
      <c r="B581" t="s">
        <v>2048</v>
      </c>
      <c r="C581" t="s">
        <v>2049</v>
      </c>
      <c r="D581">
        <v>0</v>
      </c>
      <c r="E581" t="s">
        <v>1447</v>
      </c>
      <c r="F581" t="s">
        <v>2049</v>
      </c>
      <c r="G581" t="s">
        <v>1748</v>
      </c>
      <c r="H581" t="s">
        <v>2279</v>
      </c>
      <c r="I581">
        <v>1</v>
      </c>
      <c r="J581" t="s">
        <v>2279</v>
      </c>
      <c r="K581" t="s">
        <v>2279</v>
      </c>
      <c r="L581" t="s">
        <v>2279</v>
      </c>
      <c r="M581" t="s">
        <v>2279</v>
      </c>
      <c r="N581" t="s">
        <v>2279</v>
      </c>
      <c r="O581" s="190" t="str">
        <f t="shared" si="9"/>
        <v>[AircraftOperatorsMandateArt15UseNumber][0][AircraftOperatorsMandateArt15UseNumber]</v>
      </c>
    </row>
    <row r="582" spans="1:15" x14ac:dyDescent="0.3">
      <c r="A582" t="s">
        <v>2277</v>
      </c>
      <c r="B582" t="s">
        <v>2048</v>
      </c>
      <c r="C582" t="s">
        <v>2050</v>
      </c>
      <c r="D582">
        <v>1</v>
      </c>
      <c r="E582" t="s">
        <v>1447</v>
      </c>
      <c r="F582" t="s">
        <v>2016</v>
      </c>
      <c r="G582" t="s">
        <v>1741</v>
      </c>
      <c r="H582" t="s">
        <v>2337</v>
      </c>
      <c r="I582" t="s">
        <v>2279</v>
      </c>
      <c r="J582" t="s">
        <v>2279</v>
      </c>
      <c r="K582" t="s">
        <v>2279</v>
      </c>
      <c r="L582" t="s">
        <v>2279</v>
      </c>
      <c r="M582" t="s">
        <v>2279</v>
      </c>
      <c r="N582" t="s">
        <v>2279</v>
      </c>
      <c r="O582" s="190" t="str">
        <f t="shared" si="9"/>
        <v>[S07_AircraftOperatorsUseArt15MandateDetail][1][AircraftOperatorID]</v>
      </c>
    </row>
    <row r="583" spans="1:15" x14ac:dyDescent="0.3">
      <c r="A583" t="s">
        <v>2277</v>
      </c>
      <c r="B583" t="s">
        <v>2048</v>
      </c>
      <c r="C583" t="s">
        <v>2050</v>
      </c>
      <c r="D583">
        <v>1</v>
      </c>
      <c r="E583" t="s">
        <v>1447</v>
      </c>
      <c r="F583" t="s">
        <v>2051</v>
      </c>
      <c r="G583" t="s">
        <v>1741</v>
      </c>
      <c r="H583" t="s">
        <v>2338</v>
      </c>
      <c r="I583" t="s">
        <v>2279</v>
      </c>
      <c r="J583" t="s">
        <v>2279</v>
      </c>
      <c r="K583" t="s">
        <v>2279</v>
      </c>
      <c r="L583" t="s">
        <v>2279</v>
      </c>
      <c r="M583" t="s">
        <v>2279</v>
      </c>
      <c r="N583" t="s">
        <v>2279</v>
      </c>
      <c r="O583" s="190" t="str">
        <f t="shared" si="9"/>
        <v>[S07_AircraftOperatorsUseArt15MandateDetail][1][AircraftOperatorName]</v>
      </c>
    </row>
    <row r="584" spans="1:15" x14ac:dyDescent="0.3">
      <c r="A584" t="s">
        <v>2277</v>
      </c>
      <c r="B584" t="s">
        <v>2052</v>
      </c>
      <c r="C584" t="s">
        <v>2053</v>
      </c>
      <c r="D584">
        <v>0</v>
      </c>
      <c r="E584" t="s">
        <v>1447</v>
      </c>
      <c r="F584" t="s">
        <v>2053</v>
      </c>
      <c r="G584" t="s">
        <v>1759</v>
      </c>
      <c r="H584" t="s">
        <v>2279</v>
      </c>
      <c r="I584" t="s">
        <v>2279</v>
      </c>
      <c r="J584" t="s">
        <v>2279</v>
      </c>
      <c r="K584" t="s">
        <v>2279</v>
      </c>
      <c r="L584" t="s">
        <v>1419</v>
      </c>
      <c r="M584" t="s">
        <v>2279</v>
      </c>
      <c r="N584" t="s">
        <v>2279</v>
      </c>
      <c r="O584" s="190" t="str">
        <f t="shared" si="9"/>
        <v>[CommissionTemplatesAllocation][0][CommissionTemplatesAllocation]</v>
      </c>
    </row>
    <row r="585" spans="1:15" x14ac:dyDescent="0.3">
      <c r="A585" t="s">
        <v>2277</v>
      </c>
      <c r="B585" t="s">
        <v>2062</v>
      </c>
      <c r="C585" t="s">
        <v>2063</v>
      </c>
      <c r="D585">
        <v>1</v>
      </c>
      <c r="E585" t="s">
        <v>1447</v>
      </c>
      <c r="F585" t="s">
        <v>1798</v>
      </c>
      <c r="G585" t="s">
        <v>1748</v>
      </c>
      <c r="H585" t="s">
        <v>2279</v>
      </c>
      <c r="I585">
        <v>0</v>
      </c>
      <c r="J585" t="s">
        <v>2279</v>
      </c>
      <c r="K585" t="s">
        <v>2279</v>
      </c>
      <c r="L585" t="s">
        <v>2279</v>
      </c>
      <c r="M585" t="s">
        <v>2279</v>
      </c>
      <c r="N585" t="s">
        <v>2279</v>
      </c>
      <c r="O585" s="190" t="str">
        <f t="shared" si="9"/>
        <v>[S08_RenunciationSuspensionAllowances][1][NumberOfInstallations]</v>
      </c>
    </row>
    <row r="586" spans="1:15" x14ac:dyDescent="0.3">
      <c r="A586" t="s">
        <v>2277</v>
      </c>
      <c r="B586" t="s">
        <v>2062</v>
      </c>
      <c r="C586" t="s">
        <v>2063</v>
      </c>
      <c r="D586">
        <v>2</v>
      </c>
      <c r="E586" t="s">
        <v>1447</v>
      </c>
      <c r="F586" t="s">
        <v>1798</v>
      </c>
      <c r="G586" t="s">
        <v>1748</v>
      </c>
      <c r="H586" t="s">
        <v>2279</v>
      </c>
      <c r="I586">
        <v>0</v>
      </c>
      <c r="J586" t="s">
        <v>2279</v>
      </c>
      <c r="K586" t="s">
        <v>2279</v>
      </c>
      <c r="L586" t="s">
        <v>2279</v>
      </c>
      <c r="M586" t="s">
        <v>2279</v>
      </c>
      <c r="N586" t="s">
        <v>2279</v>
      </c>
      <c r="O586" s="190" t="str">
        <f t="shared" si="9"/>
        <v>[S08_RenunciationSuspensionAllowances][2][NumberOfInstallations]</v>
      </c>
    </row>
    <row r="587" spans="1:15" x14ac:dyDescent="0.3">
      <c r="A587" t="s">
        <v>2277</v>
      </c>
      <c r="B587" t="s">
        <v>2062</v>
      </c>
      <c r="C587" t="s">
        <v>2063</v>
      </c>
      <c r="D587">
        <v>3</v>
      </c>
      <c r="E587" t="s">
        <v>1447</v>
      </c>
      <c r="F587" t="s">
        <v>1798</v>
      </c>
      <c r="G587" t="s">
        <v>1748</v>
      </c>
      <c r="H587" t="s">
        <v>2279</v>
      </c>
      <c r="I587">
        <v>0</v>
      </c>
      <c r="J587" t="s">
        <v>2279</v>
      </c>
      <c r="K587" t="s">
        <v>2279</v>
      </c>
      <c r="L587" t="s">
        <v>2279</v>
      </c>
      <c r="M587" t="s">
        <v>2279</v>
      </c>
      <c r="N587" t="s">
        <v>2279</v>
      </c>
      <c r="O587" s="190" t="str">
        <f t="shared" si="9"/>
        <v>[S08_RenunciationSuspensionAllowances][3][NumberOfInstallations]</v>
      </c>
    </row>
    <row r="588" spans="1:15" x14ac:dyDescent="0.3">
      <c r="A588" t="s">
        <v>2277</v>
      </c>
      <c r="B588" t="s">
        <v>2064</v>
      </c>
      <c r="C588" t="s">
        <v>2065</v>
      </c>
      <c r="D588">
        <v>0</v>
      </c>
      <c r="E588" t="s">
        <v>1447</v>
      </c>
      <c r="F588" t="s">
        <v>2065</v>
      </c>
      <c r="G588" t="s">
        <v>1759</v>
      </c>
      <c r="H588" t="s">
        <v>2279</v>
      </c>
      <c r="I588" t="s">
        <v>2279</v>
      </c>
      <c r="J588" t="s">
        <v>2279</v>
      </c>
      <c r="K588" t="s">
        <v>2279</v>
      </c>
      <c r="L588" t="s">
        <v>1447</v>
      </c>
      <c r="M588" t="s">
        <v>2279</v>
      </c>
      <c r="N588" t="s">
        <v>2279</v>
      </c>
      <c r="O588" s="190" t="str">
        <f t="shared" si="9"/>
        <v>[SubInstallationBenchmark61][0][SubInstallationBenchmark61]</v>
      </c>
    </row>
    <row r="589" spans="1:15" x14ac:dyDescent="0.3">
      <c r="A589" t="s">
        <v>2277</v>
      </c>
      <c r="B589" t="s">
        <v>2064</v>
      </c>
      <c r="C589" t="s">
        <v>2071</v>
      </c>
      <c r="D589">
        <v>0</v>
      </c>
      <c r="E589" t="s">
        <v>1447</v>
      </c>
      <c r="F589" t="s">
        <v>2071</v>
      </c>
      <c r="G589" t="s">
        <v>1759</v>
      </c>
      <c r="H589" t="s">
        <v>2279</v>
      </c>
      <c r="I589" t="s">
        <v>2279</v>
      </c>
      <c r="J589" t="s">
        <v>2279</v>
      </c>
      <c r="K589" t="s">
        <v>2279</v>
      </c>
      <c r="L589" t="s">
        <v>1419</v>
      </c>
      <c r="M589" t="s">
        <v>2279</v>
      </c>
      <c r="N589" t="s">
        <v>2279</v>
      </c>
      <c r="O589" s="190" t="str">
        <f t="shared" si="9"/>
        <v>[SubInstallationBenchmark62][0][SubInstallationBenchmark62]</v>
      </c>
    </row>
    <row r="590" spans="1:15" x14ac:dyDescent="0.3">
      <c r="A590" t="s">
        <v>2277</v>
      </c>
      <c r="B590" t="s">
        <v>2064</v>
      </c>
      <c r="C590" t="s">
        <v>2072</v>
      </c>
      <c r="D590">
        <v>1</v>
      </c>
      <c r="E590" t="s">
        <v>1447</v>
      </c>
      <c r="F590" t="s">
        <v>2067</v>
      </c>
      <c r="G590" t="s">
        <v>1748</v>
      </c>
      <c r="H590" t="s">
        <v>2279</v>
      </c>
      <c r="I590">
        <v>1</v>
      </c>
      <c r="J590" t="s">
        <v>2279</v>
      </c>
      <c r="K590" t="s">
        <v>2279</v>
      </c>
      <c r="L590" t="s">
        <v>2279</v>
      </c>
      <c r="M590" t="s">
        <v>2279</v>
      </c>
      <c r="N590" t="s">
        <v>2279</v>
      </c>
      <c r="O590" s="190" t="str">
        <f t="shared" si="9"/>
        <v>[S08_SubInstallationBenchmark62Detail][1][FuelBenchmark]</v>
      </c>
    </row>
    <row r="591" spans="1:15" x14ac:dyDescent="0.3">
      <c r="A591" t="s">
        <v>2277</v>
      </c>
      <c r="B591" t="s">
        <v>2073</v>
      </c>
      <c r="C591" t="s">
        <v>2074</v>
      </c>
      <c r="D591">
        <v>1</v>
      </c>
      <c r="E591" t="s">
        <v>1447</v>
      </c>
      <c r="F591" t="s">
        <v>1798</v>
      </c>
      <c r="G591" t="s">
        <v>1748</v>
      </c>
      <c r="H591" t="s">
        <v>2279</v>
      </c>
      <c r="I591">
        <v>1</v>
      </c>
      <c r="J591" t="s">
        <v>2279</v>
      </c>
      <c r="K591" t="s">
        <v>2279</v>
      </c>
      <c r="L591" t="s">
        <v>2279</v>
      </c>
      <c r="M591" t="s">
        <v>2279</v>
      </c>
      <c r="N591" t="s">
        <v>2279</v>
      </c>
      <c r="O591" s="190" t="str">
        <f t="shared" si="9"/>
        <v>[S08_ScopeExclusion][1][NumberOfInstallations]</v>
      </c>
    </row>
    <row r="592" spans="1:15" x14ac:dyDescent="0.3">
      <c r="A592" t="s">
        <v>2277</v>
      </c>
      <c r="B592" t="s">
        <v>2073</v>
      </c>
      <c r="C592" t="s">
        <v>2074</v>
      </c>
      <c r="D592">
        <v>2</v>
      </c>
      <c r="E592" t="s">
        <v>1447</v>
      </c>
      <c r="F592" t="s">
        <v>1798</v>
      </c>
      <c r="G592" t="s">
        <v>1748</v>
      </c>
      <c r="H592" t="s">
        <v>2279</v>
      </c>
      <c r="I592">
        <v>0</v>
      </c>
      <c r="J592" t="s">
        <v>2279</v>
      </c>
      <c r="K592" t="s">
        <v>2279</v>
      </c>
      <c r="L592" t="s">
        <v>2279</v>
      </c>
      <c r="M592" t="s">
        <v>2279</v>
      </c>
      <c r="N592" t="s">
        <v>2279</v>
      </c>
      <c r="O592" s="190" t="str">
        <f t="shared" si="9"/>
        <v>[S08_ScopeExclusion][2][NumberOfInstallations]</v>
      </c>
    </row>
    <row r="593" spans="1:15" x14ac:dyDescent="0.3">
      <c r="A593" t="s">
        <v>2277</v>
      </c>
      <c r="B593" t="s">
        <v>2073</v>
      </c>
      <c r="C593" t="s">
        <v>2074</v>
      </c>
      <c r="D593">
        <v>3</v>
      </c>
      <c r="E593" t="s">
        <v>1447</v>
      </c>
      <c r="F593" t="s">
        <v>1798</v>
      </c>
      <c r="G593" t="s">
        <v>1748</v>
      </c>
      <c r="H593" t="s">
        <v>2279</v>
      </c>
      <c r="I593">
        <v>0</v>
      </c>
      <c r="J593" t="s">
        <v>2279</v>
      </c>
      <c r="K593" t="s">
        <v>2279</v>
      </c>
      <c r="L593" t="s">
        <v>2279</v>
      </c>
      <c r="M593" t="s">
        <v>2279</v>
      </c>
      <c r="N593" t="s">
        <v>2279</v>
      </c>
      <c r="O593" s="190" t="str">
        <f t="shared" si="9"/>
        <v>[S08_ScopeExclusion][3][NumberOfInstallations]</v>
      </c>
    </row>
    <row r="594" spans="1:15" x14ac:dyDescent="0.3">
      <c r="A594" t="s">
        <v>2277</v>
      </c>
      <c r="B594" t="s">
        <v>2073</v>
      </c>
      <c r="C594" t="s">
        <v>2074</v>
      </c>
      <c r="D594">
        <v>4</v>
      </c>
      <c r="E594" t="s">
        <v>1447</v>
      </c>
      <c r="F594" t="s">
        <v>1798</v>
      </c>
      <c r="G594" t="s">
        <v>1748</v>
      </c>
      <c r="H594" t="s">
        <v>2279</v>
      </c>
      <c r="I594">
        <v>0</v>
      </c>
      <c r="J594" t="s">
        <v>2279</v>
      </c>
      <c r="K594" t="s">
        <v>2279</v>
      </c>
      <c r="L594" t="s">
        <v>2279</v>
      </c>
      <c r="M594" t="s">
        <v>2279</v>
      </c>
      <c r="N594" t="s">
        <v>2279</v>
      </c>
      <c r="O594" s="190" t="str">
        <f t="shared" si="9"/>
        <v>[S08_ScopeExclusion][4][NumberOfInstallations]</v>
      </c>
    </row>
    <row r="595" spans="1:15" x14ac:dyDescent="0.3">
      <c r="A595" t="s">
        <v>2277</v>
      </c>
      <c r="B595" t="s">
        <v>2073</v>
      </c>
      <c r="C595" t="s">
        <v>2074</v>
      </c>
      <c r="D595">
        <v>5</v>
      </c>
      <c r="E595" t="s">
        <v>1447</v>
      </c>
      <c r="F595" t="s">
        <v>1798</v>
      </c>
      <c r="G595" t="s">
        <v>1748</v>
      </c>
      <c r="H595" t="s">
        <v>2279</v>
      </c>
      <c r="I595">
        <v>0</v>
      </c>
      <c r="J595" t="s">
        <v>2279</v>
      </c>
      <c r="K595" t="s">
        <v>2279</v>
      </c>
      <c r="L595" t="s">
        <v>2279</v>
      </c>
      <c r="M595" t="s">
        <v>2279</v>
      </c>
      <c r="N595" t="s">
        <v>2279</v>
      </c>
      <c r="O595" s="190" t="str">
        <f t="shared" si="9"/>
        <v>[S08_ScopeExclusion][5][NumberOfInstallations]</v>
      </c>
    </row>
    <row r="596" spans="1:15" x14ac:dyDescent="0.3">
      <c r="A596" t="s">
        <v>2277</v>
      </c>
      <c r="B596" t="s">
        <v>2073</v>
      </c>
      <c r="C596" t="s">
        <v>2074</v>
      </c>
      <c r="D596">
        <v>6</v>
      </c>
      <c r="E596" t="s">
        <v>1419</v>
      </c>
      <c r="F596" t="s">
        <v>1798</v>
      </c>
      <c r="G596" t="s">
        <v>1748</v>
      </c>
      <c r="H596" t="s">
        <v>2279</v>
      </c>
      <c r="I596">
        <v>0</v>
      </c>
      <c r="J596" t="s">
        <v>2279</v>
      </c>
      <c r="K596" t="s">
        <v>2279</v>
      </c>
      <c r="L596" t="s">
        <v>2279</v>
      </c>
      <c r="M596" t="s">
        <v>2279</v>
      </c>
      <c r="N596" t="s">
        <v>2279</v>
      </c>
      <c r="O596" s="190" t="str">
        <f t="shared" si="9"/>
        <v>[S08_ScopeExclusion][6][NumberOfInstallations]</v>
      </c>
    </row>
    <row r="597" spans="1:15" x14ac:dyDescent="0.3">
      <c r="A597" t="s">
        <v>2277</v>
      </c>
      <c r="B597" t="s">
        <v>2076</v>
      </c>
      <c r="C597" t="s">
        <v>2077</v>
      </c>
      <c r="D597">
        <v>0</v>
      </c>
      <c r="E597" t="s">
        <v>1447</v>
      </c>
      <c r="F597" t="s">
        <v>2077</v>
      </c>
      <c r="G597" t="s">
        <v>1759</v>
      </c>
      <c r="H597" t="s">
        <v>2279</v>
      </c>
      <c r="I597" t="s">
        <v>2279</v>
      </c>
      <c r="J597" t="s">
        <v>2279</v>
      </c>
      <c r="K597" t="s">
        <v>2279</v>
      </c>
      <c r="L597" t="s">
        <v>1447</v>
      </c>
      <c r="M597" t="s">
        <v>2279</v>
      </c>
      <c r="N597" t="s">
        <v>2279</v>
      </c>
      <c r="O597" s="190" t="str">
        <f t="shared" si="9"/>
        <v>[Article10cApplied][0][Article10cApplied]</v>
      </c>
    </row>
    <row r="598" spans="1:15" x14ac:dyDescent="0.3">
      <c r="A598" t="s">
        <v>2277</v>
      </c>
      <c r="B598" t="s">
        <v>2080</v>
      </c>
      <c r="C598" t="s">
        <v>2081</v>
      </c>
      <c r="D598">
        <v>1</v>
      </c>
      <c r="E598" t="s">
        <v>1447</v>
      </c>
      <c r="F598" t="s">
        <v>1798</v>
      </c>
      <c r="G598" t="s">
        <v>1748</v>
      </c>
      <c r="H598" t="s">
        <v>2279</v>
      </c>
      <c r="I598">
        <v>0</v>
      </c>
      <c r="J598" t="s">
        <v>2279</v>
      </c>
      <c r="K598" t="s">
        <v>2279</v>
      </c>
      <c r="L598" t="s">
        <v>2279</v>
      </c>
      <c r="M598" t="s">
        <v>2279</v>
      </c>
      <c r="N598" t="s">
        <v>2279</v>
      </c>
      <c r="O598" s="190" t="str">
        <f t="shared" si="9"/>
        <v>[S08_NegativeOpinionBaselineData][1][NumberOfInstallations]</v>
      </c>
    </row>
    <row r="599" spans="1:15" x14ac:dyDescent="0.3">
      <c r="A599" t="s">
        <v>2277</v>
      </c>
      <c r="B599" t="s">
        <v>2080</v>
      </c>
      <c r="C599" t="s">
        <v>2081</v>
      </c>
      <c r="D599">
        <v>2</v>
      </c>
      <c r="E599" t="s">
        <v>1447</v>
      </c>
      <c r="F599" t="s">
        <v>1798</v>
      </c>
      <c r="G599" t="s">
        <v>1748</v>
      </c>
      <c r="H599" t="s">
        <v>2279</v>
      </c>
      <c r="I599">
        <v>0</v>
      </c>
      <c r="J599" t="s">
        <v>2279</v>
      </c>
      <c r="K599" t="s">
        <v>2279</v>
      </c>
      <c r="L599" t="s">
        <v>2279</v>
      </c>
      <c r="M599" t="s">
        <v>2279</v>
      </c>
      <c r="N599" t="s">
        <v>2279</v>
      </c>
      <c r="O599" s="190" t="str">
        <f t="shared" si="9"/>
        <v>[S08_NegativeOpinionBaselineData][2][NumberOfInstallations]</v>
      </c>
    </row>
    <row r="600" spans="1:15" x14ac:dyDescent="0.3">
      <c r="A600" t="s">
        <v>2277</v>
      </c>
      <c r="B600" t="s">
        <v>2080</v>
      </c>
      <c r="C600" t="s">
        <v>2081</v>
      </c>
      <c r="D600">
        <v>3</v>
      </c>
      <c r="E600" t="s">
        <v>1447</v>
      </c>
      <c r="F600" t="s">
        <v>1798</v>
      </c>
      <c r="G600" t="s">
        <v>1748</v>
      </c>
      <c r="H600" t="s">
        <v>2279</v>
      </c>
      <c r="I600">
        <v>0</v>
      </c>
      <c r="J600" t="s">
        <v>2279</v>
      </c>
      <c r="K600" t="s">
        <v>2279</v>
      </c>
      <c r="L600" t="s">
        <v>2279</v>
      </c>
      <c r="M600" t="s">
        <v>2279</v>
      </c>
      <c r="N600" t="s">
        <v>2279</v>
      </c>
      <c r="O600" s="190" t="str">
        <f t="shared" si="9"/>
        <v>[S08_NegativeOpinionBaselineData][3][NumberOfInstallations]</v>
      </c>
    </row>
    <row r="601" spans="1:15" x14ac:dyDescent="0.3">
      <c r="A601" t="s">
        <v>2277</v>
      </c>
      <c r="B601" t="s">
        <v>2082</v>
      </c>
      <c r="C601" t="s">
        <v>2083</v>
      </c>
      <c r="D601">
        <v>0</v>
      </c>
      <c r="E601" t="s">
        <v>1447</v>
      </c>
      <c r="F601" t="s">
        <v>2083</v>
      </c>
      <c r="G601" t="s">
        <v>1759</v>
      </c>
      <c r="H601" t="s">
        <v>2279</v>
      </c>
      <c r="I601" t="s">
        <v>2279</v>
      </c>
      <c r="J601" t="s">
        <v>2279</v>
      </c>
      <c r="K601" t="s">
        <v>2279</v>
      </c>
      <c r="L601" t="s">
        <v>1447</v>
      </c>
      <c r="M601" t="s">
        <v>2279</v>
      </c>
      <c r="N601" t="s">
        <v>2279</v>
      </c>
      <c r="O601" s="190" t="str">
        <f t="shared" si="9"/>
        <v>[BaselineDataIssues][0][BaselineDataIssues]</v>
      </c>
    </row>
    <row r="602" spans="1:15" x14ac:dyDescent="0.3">
      <c r="A602" t="s">
        <v>2277</v>
      </c>
      <c r="B602" t="s">
        <v>2086</v>
      </c>
      <c r="C602" t="s">
        <v>2087</v>
      </c>
      <c r="D602">
        <v>0</v>
      </c>
      <c r="E602" t="s">
        <v>1447</v>
      </c>
      <c r="F602" t="s">
        <v>2087</v>
      </c>
      <c r="G602" t="s">
        <v>1759</v>
      </c>
      <c r="H602" t="s">
        <v>2279</v>
      </c>
      <c r="I602" t="s">
        <v>2279</v>
      </c>
      <c r="J602" t="s">
        <v>2279</v>
      </c>
      <c r="K602" t="s">
        <v>2279</v>
      </c>
      <c r="L602" t="s">
        <v>1447</v>
      </c>
      <c r="M602" t="s">
        <v>2279</v>
      </c>
      <c r="N602" t="s">
        <v>2279</v>
      </c>
      <c r="O602" s="190" t="str">
        <f t="shared" si="9"/>
        <v>[AdditionalParametersRequired][0][AdditionalParametersRequired]</v>
      </c>
    </row>
    <row r="603" spans="1:15" x14ac:dyDescent="0.3">
      <c r="A603" t="s">
        <v>2277</v>
      </c>
      <c r="B603" t="s">
        <v>2089</v>
      </c>
      <c r="C603" t="s">
        <v>2090</v>
      </c>
      <c r="D603">
        <v>0</v>
      </c>
      <c r="E603" t="s">
        <v>1447</v>
      </c>
      <c r="F603" t="s">
        <v>2090</v>
      </c>
      <c r="G603" t="s">
        <v>1759</v>
      </c>
      <c r="H603" t="s">
        <v>2279</v>
      </c>
      <c r="I603" t="s">
        <v>2279</v>
      </c>
      <c r="J603" t="s">
        <v>2279</v>
      </c>
      <c r="K603" t="s">
        <v>2279</v>
      </c>
      <c r="L603" t="s">
        <v>1447</v>
      </c>
      <c r="M603" t="s">
        <v>2279</v>
      </c>
      <c r="N603" t="s">
        <v>2279</v>
      </c>
      <c r="O603" s="190" t="str">
        <f t="shared" si="9"/>
        <v>[PreliminaryActivityRequired][0][PreliminaryActivityRequired]</v>
      </c>
    </row>
    <row r="604" spans="1:15" x14ac:dyDescent="0.3">
      <c r="A604" t="s">
        <v>2277</v>
      </c>
      <c r="B604" t="s">
        <v>2092</v>
      </c>
      <c r="C604" t="s">
        <v>2093</v>
      </c>
      <c r="D604">
        <v>1</v>
      </c>
      <c r="E604" t="s">
        <v>1447</v>
      </c>
      <c r="F604" t="s">
        <v>1798</v>
      </c>
      <c r="G604" t="s">
        <v>1748</v>
      </c>
      <c r="H604" t="s">
        <v>2279</v>
      </c>
      <c r="I604">
        <v>2</v>
      </c>
      <c r="J604" t="s">
        <v>2279</v>
      </c>
      <c r="K604" t="s">
        <v>2279</v>
      </c>
      <c r="L604" t="s">
        <v>2279</v>
      </c>
      <c r="M604" t="s">
        <v>2279</v>
      </c>
      <c r="N604" t="s">
        <v>2279</v>
      </c>
      <c r="O604" s="190" t="str">
        <f t="shared" si="9"/>
        <v>[S08_NegativeOpinionActivityData][1][NumberOfInstallations]</v>
      </c>
    </row>
    <row r="605" spans="1:15" x14ac:dyDescent="0.3">
      <c r="A605" t="s">
        <v>2277</v>
      </c>
      <c r="B605" t="s">
        <v>2092</v>
      </c>
      <c r="C605" t="s">
        <v>2093</v>
      </c>
      <c r="D605">
        <v>2</v>
      </c>
      <c r="E605" t="s">
        <v>1447</v>
      </c>
      <c r="F605" t="s">
        <v>1798</v>
      </c>
      <c r="G605" t="s">
        <v>1748</v>
      </c>
      <c r="H605" t="s">
        <v>2279</v>
      </c>
      <c r="I605">
        <v>0</v>
      </c>
      <c r="J605" t="s">
        <v>2279</v>
      </c>
      <c r="K605" t="s">
        <v>2279</v>
      </c>
      <c r="L605" t="s">
        <v>2279</v>
      </c>
      <c r="M605" t="s">
        <v>2279</v>
      </c>
      <c r="N605" t="s">
        <v>2279</v>
      </c>
      <c r="O605" s="190" t="str">
        <f t="shared" si="9"/>
        <v>[S08_NegativeOpinionActivityData][2][NumberOfInstallations]</v>
      </c>
    </row>
    <row r="606" spans="1:15" x14ac:dyDescent="0.3">
      <c r="A606" t="s">
        <v>2277</v>
      </c>
      <c r="B606" t="s">
        <v>2092</v>
      </c>
      <c r="C606" t="s">
        <v>2093</v>
      </c>
      <c r="D606">
        <v>3</v>
      </c>
      <c r="E606" t="s">
        <v>1447</v>
      </c>
      <c r="F606" t="s">
        <v>1798</v>
      </c>
      <c r="G606" t="s">
        <v>1748</v>
      </c>
      <c r="H606" t="s">
        <v>2279</v>
      </c>
      <c r="I606">
        <v>0</v>
      </c>
      <c r="J606" t="s">
        <v>2279</v>
      </c>
      <c r="K606" t="s">
        <v>2279</v>
      </c>
      <c r="L606" t="s">
        <v>2279</v>
      </c>
      <c r="M606" t="s">
        <v>2279</v>
      </c>
      <c r="N606" t="s">
        <v>2279</v>
      </c>
      <c r="O606" s="190" t="str">
        <f t="shared" si="9"/>
        <v>[S08_NegativeOpinionActivityData][3][NumberOfInstallations]</v>
      </c>
    </row>
    <row r="607" spans="1:15" x14ac:dyDescent="0.3">
      <c r="A607" t="s">
        <v>2277</v>
      </c>
      <c r="B607" t="s">
        <v>2092</v>
      </c>
      <c r="C607" t="s">
        <v>2093</v>
      </c>
      <c r="D607">
        <v>4</v>
      </c>
      <c r="E607" t="s">
        <v>1447</v>
      </c>
      <c r="F607" t="s">
        <v>1798</v>
      </c>
      <c r="G607" t="s">
        <v>1748</v>
      </c>
      <c r="H607" t="s">
        <v>2279</v>
      </c>
      <c r="I607">
        <v>0</v>
      </c>
      <c r="J607" t="s">
        <v>2279</v>
      </c>
      <c r="K607" t="s">
        <v>2279</v>
      </c>
      <c r="L607" t="s">
        <v>2279</v>
      </c>
      <c r="M607" t="s">
        <v>2279</v>
      </c>
      <c r="N607" t="s">
        <v>2279</v>
      </c>
      <c r="O607" s="190" t="str">
        <f t="shared" si="9"/>
        <v>[S08_NegativeOpinionActivityData][4][NumberOfInstallations]</v>
      </c>
    </row>
    <row r="608" spans="1:15" x14ac:dyDescent="0.3">
      <c r="A608" t="s">
        <v>2277</v>
      </c>
      <c r="B608" t="s">
        <v>2092</v>
      </c>
      <c r="C608" t="s">
        <v>2093</v>
      </c>
      <c r="D608">
        <v>1</v>
      </c>
      <c r="E608" t="s">
        <v>1447</v>
      </c>
      <c r="F608" t="s">
        <v>2094</v>
      </c>
      <c r="G608" t="s">
        <v>1748</v>
      </c>
      <c r="H608" t="s">
        <v>2279</v>
      </c>
      <c r="I608">
        <v>0</v>
      </c>
      <c r="J608" t="s">
        <v>2279</v>
      </c>
      <c r="K608" t="s">
        <v>2279</v>
      </c>
      <c r="L608" t="s">
        <v>2279</v>
      </c>
      <c r="M608" t="s">
        <v>2279</v>
      </c>
      <c r="N608" t="s">
        <v>2279</v>
      </c>
      <c r="O608" s="190" t="str">
        <f t="shared" si="9"/>
        <v>[S08_NegativeOpinionActivityData][1][NumberOfInstallationsConEst]</v>
      </c>
    </row>
    <row r="609" spans="1:15" x14ac:dyDescent="0.3">
      <c r="A609" t="s">
        <v>2277</v>
      </c>
      <c r="B609" t="s">
        <v>2092</v>
      </c>
      <c r="C609" t="s">
        <v>2093</v>
      </c>
      <c r="D609">
        <v>2</v>
      </c>
      <c r="E609" t="s">
        <v>1447</v>
      </c>
      <c r="F609" t="s">
        <v>2094</v>
      </c>
      <c r="G609" t="s">
        <v>1748</v>
      </c>
      <c r="H609" t="s">
        <v>2279</v>
      </c>
      <c r="I609">
        <v>0</v>
      </c>
      <c r="J609" t="s">
        <v>2279</v>
      </c>
      <c r="K609" t="s">
        <v>2279</v>
      </c>
      <c r="L609" t="s">
        <v>2279</v>
      </c>
      <c r="M609" t="s">
        <v>2279</v>
      </c>
      <c r="N609" t="s">
        <v>2279</v>
      </c>
      <c r="O609" s="190" t="str">
        <f t="shared" si="9"/>
        <v>[S08_NegativeOpinionActivityData][2][NumberOfInstallationsConEst]</v>
      </c>
    </row>
    <row r="610" spans="1:15" x14ac:dyDescent="0.3">
      <c r="A610" t="s">
        <v>2277</v>
      </c>
      <c r="B610" t="s">
        <v>2092</v>
      </c>
      <c r="C610" t="s">
        <v>2093</v>
      </c>
      <c r="D610">
        <v>3</v>
      </c>
      <c r="E610" t="s">
        <v>1447</v>
      </c>
      <c r="F610" t="s">
        <v>2094</v>
      </c>
      <c r="G610" t="s">
        <v>1748</v>
      </c>
      <c r="H610" t="s">
        <v>2279</v>
      </c>
      <c r="I610">
        <v>0</v>
      </c>
      <c r="J610" t="s">
        <v>2279</v>
      </c>
      <c r="K610" t="s">
        <v>2279</v>
      </c>
      <c r="L610" t="s">
        <v>2279</v>
      </c>
      <c r="M610" t="s">
        <v>2279</v>
      </c>
      <c r="N610" t="s">
        <v>2279</v>
      </c>
      <c r="O610" s="190" t="str">
        <f t="shared" si="9"/>
        <v>[S08_NegativeOpinionActivityData][3][NumberOfInstallationsConEst]</v>
      </c>
    </row>
    <row r="611" spans="1:15" x14ac:dyDescent="0.3">
      <c r="A611" t="s">
        <v>2277</v>
      </c>
      <c r="B611" t="s">
        <v>2092</v>
      </c>
      <c r="C611" t="s">
        <v>2093</v>
      </c>
      <c r="D611">
        <v>4</v>
      </c>
      <c r="E611" t="s">
        <v>1447</v>
      </c>
      <c r="F611" t="s">
        <v>2094</v>
      </c>
      <c r="G611" t="s">
        <v>1748</v>
      </c>
      <c r="H611" t="s">
        <v>2279</v>
      </c>
      <c r="I611">
        <v>0</v>
      </c>
      <c r="J611" t="s">
        <v>2279</v>
      </c>
      <c r="K611" t="s">
        <v>2279</v>
      </c>
      <c r="L611" t="s">
        <v>2279</v>
      </c>
      <c r="M611" t="s">
        <v>2279</v>
      </c>
      <c r="N611" t="s">
        <v>2279</v>
      </c>
      <c r="O611" s="190" t="str">
        <f t="shared" si="9"/>
        <v>[S08_NegativeOpinionActivityData][4][NumberOfInstallationsConEst]</v>
      </c>
    </row>
    <row r="612" spans="1:15" x14ac:dyDescent="0.3">
      <c r="A612" t="s">
        <v>2277</v>
      </c>
      <c r="B612" t="s">
        <v>2098</v>
      </c>
      <c r="C612" t="s">
        <v>2099</v>
      </c>
      <c r="D612">
        <v>0</v>
      </c>
      <c r="E612" t="s">
        <v>1447</v>
      </c>
      <c r="F612" t="s">
        <v>2099</v>
      </c>
      <c r="G612" t="s">
        <v>1759</v>
      </c>
      <c r="H612" t="s">
        <v>2279</v>
      </c>
      <c r="I612" t="s">
        <v>2279</v>
      </c>
      <c r="J612" t="s">
        <v>2279</v>
      </c>
      <c r="K612" t="s">
        <v>2279</v>
      </c>
      <c r="L612" t="s">
        <v>1419</v>
      </c>
      <c r="M612" t="s">
        <v>2279</v>
      </c>
      <c r="N612" t="s">
        <v>2279</v>
      </c>
      <c r="O612" s="190" t="str">
        <f t="shared" si="9"/>
        <v>[ActivityReportRejected][0][ActivityReportRejected]</v>
      </c>
    </row>
    <row r="613" spans="1:15" x14ac:dyDescent="0.3">
      <c r="A613" t="s">
        <v>2277</v>
      </c>
      <c r="B613" t="s">
        <v>2098</v>
      </c>
      <c r="C613" t="s">
        <v>2100</v>
      </c>
      <c r="D613">
        <v>2</v>
      </c>
      <c r="E613" t="s">
        <v>1447</v>
      </c>
      <c r="F613" t="s">
        <v>2101</v>
      </c>
      <c r="G613" t="s">
        <v>1748</v>
      </c>
      <c r="H613" t="s">
        <v>2279</v>
      </c>
      <c r="I613">
        <v>3</v>
      </c>
      <c r="J613" t="s">
        <v>2279</v>
      </c>
      <c r="K613" t="s">
        <v>2279</v>
      </c>
      <c r="L613" t="s">
        <v>2279</v>
      </c>
      <c r="M613" t="s">
        <v>2279</v>
      </c>
      <c r="N613" t="s">
        <v>2279</v>
      </c>
      <c r="O613" s="190" t="str">
        <f t="shared" si="9"/>
        <v>[S08_ActivityReportRejectedDetail][2][NumberActivityReportRejected]</v>
      </c>
    </row>
    <row r="614" spans="1:15" x14ac:dyDescent="0.3">
      <c r="A614" t="s">
        <v>2277</v>
      </c>
      <c r="B614" t="s">
        <v>2098</v>
      </c>
      <c r="C614" t="s">
        <v>2100</v>
      </c>
      <c r="D614">
        <v>2</v>
      </c>
      <c r="E614" t="s">
        <v>1447</v>
      </c>
      <c r="F614" t="s">
        <v>2102</v>
      </c>
      <c r="G614" t="s">
        <v>1791</v>
      </c>
      <c r="H614" t="s">
        <v>2279</v>
      </c>
      <c r="I614" t="s">
        <v>2279</v>
      </c>
      <c r="J614" t="s">
        <v>2279</v>
      </c>
      <c r="K614" t="s">
        <v>2339</v>
      </c>
      <c r="L614" t="s">
        <v>2279</v>
      </c>
      <c r="M614" t="s">
        <v>2279</v>
      </c>
      <c r="N614" t="s">
        <v>2279</v>
      </c>
      <c r="O614" s="190" t="str">
        <f t="shared" si="9"/>
        <v>[S08_ActivityReportRejectedDetail][2][ReasonForRejection]</v>
      </c>
    </row>
    <row r="615" spans="1:15" x14ac:dyDescent="0.3">
      <c r="A615" t="s">
        <v>2277</v>
      </c>
      <c r="B615" t="s">
        <v>2098</v>
      </c>
      <c r="C615" t="s">
        <v>2100</v>
      </c>
      <c r="D615">
        <v>3</v>
      </c>
      <c r="E615" t="s">
        <v>1447</v>
      </c>
      <c r="F615" t="s">
        <v>2000</v>
      </c>
      <c r="G615" t="s">
        <v>1741</v>
      </c>
      <c r="H615" t="s">
        <v>2340</v>
      </c>
      <c r="I615" t="s">
        <v>2279</v>
      </c>
      <c r="J615" t="s">
        <v>2279</v>
      </c>
      <c r="K615" t="s">
        <v>2279</v>
      </c>
      <c r="L615" t="s">
        <v>2279</v>
      </c>
      <c r="M615" t="s">
        <v>2279</v>
      </c>
      <c r="N615" t="s">
        <v>2279</v>
      </c>
      <c r="O615" s="190" t="str">
        <f t="shared" si="9"/>
        <v>[S08_ActivityReportRejectedDetail][3][ActionsTaken]</v>
      </c>
    </row>
    <row r="616" spans="1:15" x14ac:dyDescent="0.3">
      <c r="A616" t="s">
        <v>2277</v>
      </c>
      <c r="B616" t="s">
        <v>2109</v>
      </c>
      <c r="C616" t="s">
        <v>2110</v>
      </c>
      <c r="D616">
        <v>1</v>
      </c>
      <c r="E616" t="s">
        <v>1447</v>
      </c>
      <c r="F616" t="s">
        <v>2111</v>
      </c>
      <c r="G616" t="s">
        <v>1806</v>
      </c>
      <c r="H616" t="s">
        <v>2279</v>
      </c>
      <c r="I616" t="s">
        <v>2279</v>
      </c>
      <c r="J616">
        <v>500</v>
      </c>
      <c r="K616" t="s">
        <v>2279</v>
      </c>
      <c r="L616" t="s">
        <v>2279</v>
      </c>
      <c r="M616" t="s">
        <v>2279</v>
      </c>
      <c r="N616" t="s">
        <v>2279</v>
      </c>
      <c r="O616" s="190" t="str">
        <f t="shared" si="9"/>
        <v>[S08_PenaltiesAllocation][1][MinFine]</v>
      </c>
    </row>
    <row r="617" spans="1:15" x14ac:dyDescent="0.3">
      <c r="A617" t="s">
        <v>2277</v>
      </c>
      <c r="B617" t="s">
        <v>2109</v>
      </c>
      <c r="C617" t="s">
        <v>2110</v>
      </c>
      <c r="D617">
        <v>2</v>
      </c>
      <c r="E617" t="s">
        <v>1447</v>
      </c>
      <c r="F617" t="s">
        <v>2111</v>
      </c>
      <c r="G617" t="s">
        <v>1806</v>
      </c>
      <c r="H617" t="s">
        <v>2279</v>
      </c>
      <c r="I617" t="s">
        <v>2279</v>
      </c>
      <c r="J617">
        <v>500</v>
      </c>
      <c r="K617" t="s">
        <v>2279</v>
      </c>
      <c r="L617" t="s">
        <v>2279</v>
      </c>
      <c r="M617" t="s">
        <v>2279</v>
      </c>
      <c r="N617" t="s">
        <v>2279</v>
      </c>
      <c r="O617" s="190" t="str">
        <f t="shared" si="9"/>
        <v>[S08_PenaltiesAllocation][2][MinFine]</v>
      </c>
    </row>
    <row r="618" spans="1:15" x14ac:dyDescent="0.3">
      <c r="A618" t="s">
        <v>2277</v>
      </c>
      <c r="B618" t="s">
        <v>2109</v>
      </c>
      <c r="C618" t="s">
        <v>2110</v>
      </c>
      <c r="D618">
        <v>3</v>
      </c>
      <c r="E618" t="s">
        <v>1447</v>
      </c>
      <c r="F618" t="s">
        <v>2111</v>
      </c>
      <c r="G618" t="s">
        <v>1806</v>
      </c>
      <c r="H618" t="s">
        <v>2279</v>
      </c>
      <c r="I618" t="s">
        <v>2279</v>
      </c>
      <c r="J618">
        <v>0</v>
      </c>
      <c r="K618" t="s">
        <v>2279</v>
      </c>
      <c r="L618" t="s">
        <v>2279</v>
      </c>
      <c r="M618" t="s">
        <v>2279</v>
      </c>
      <c r="N618" t="s">
        <v>2279</v>
      </c>
      <c r="O618" s="190" t="str">
        <f t="shared" si="9"/>
        <v>[S08_PenaltiesAllocation][3][MinFine]</v>
      </c>
    </row>
    <row r="619" spans="1:15" x14ac:dyDescent="0.3">
      <c r="A619" t="s">
        <v>2277</v>
      </c>
      <c r="B619" t="s">
        <v>2109</v>
      </c>
      <c r="C619" t="s">
        <v>2110</v>
      </c>
      <c r="D619">
        <v>1</v>
      </c>
      <c r="E619" t="s">
        <v>1447</v>
      </c>
      <c r="F619" t="s">
        <v>2112</v>
      </c>
      <c r="G619" t="s">
        <v>1806</v>
      </c>
      <c r="H619" t="s">
        <v>2279</v>
      </c>
      <c r="I619" t="s">
        <v>2279</v>
      </c>
      <c r="J619">
        <v>5000</v>
      </c>
      <c r="K619" t="s">
        <v>2279</v>
      </c>
      <c r="L619" t="s">
        <v>2279</v>
      </c>
      <c r="M619" t="s">
        <v>2279</v>
      </c>
      <c r="N619" t="s">
        <v>2279</v>
      </c>
      <c r="O619" s="190" t="str">
        <f t="shared" si="9"/>
        <v>[S08_PenaltiesAllocation][1][MaxFine]</v>
      </c>
    </row>
    <row r="620" spans="1:15" x14ac:dyDescent="0.3">
      <c r="A620" t="s">
        <v>2277</v>
      </c>
      <c r="B620" t="s">
        <v>2109</v>
      </c>
      <c r="C620" t="s">
        <v>2110</v>
      </c>
      <c r="D620">
        <v>2</v>
      </c>
      <c r="E620" t="s">
        <v>1447</v>
      </c>
      <c r="F620" t="s">
        <v>2112</v>
      </c>
      <c r="G620" t="s">
        <v>1806</v>
      </c>
      <c r="H620" t="s">
        <v>2279</v>
      </c>
      <c r="I620" t="s">
        <v>2279</v>
      </c>
      <c r="J620">
        <v>5000</v>
      </c>
      <c r="K620" t="s">
        <v>2279</v>
      </c>
      <c r="L620" t="s">
        <v>2279</v>
      </c>
      <c r="M620" t="s">
        <v>2279</v>
      </c>
      <c r="N620" t="s">
        <v>2279</v>
      </c>
      <c r="O620" s="190" t="str">
        <f t="shared" si="9"/>
        <v>[S08_PenaltiesAllocation][2][MaxFine]</v>
      </c>
    </row>
    <row r="621" spans="1:15" x14ac:dyDescent="0.3">
      <c r="A621" t="s">
        <v>2277</v>
      </c>
      <c r="B621" t="s">
        <v>2109</v>
      </c>
      <c r="C621" t="s">
        <v>2110</v>
      </c>
      <c r="D621">
        <v>3</v>
      </c>
      <c r="E621" t="s">
        <v>1447</v>
      </c>
      <c r="F621" t="s">
        <v>2112</v>
      </c>
      <c r="G621" t="s">
        <v>1806</v>
      </c>
      <c r="H621" t="s">
        <v>2279</v>
      </c>
      <c r="I621" t="s">
        <v>2279</v>
      </c>
      <c r="J621">
        <v>0</v>
      </c>
      <c r="K621" t="s">
        <v>2279</v>
      </c>
      <c r="L621" t="s">
        <v>2279</v>
      </c>
      <c r="M621" t="s">
        <v>2279</v>
      </c>
      <c r="N621" t="s">
        <v>2279</v>
      </c>
      <c r="O621" s="190" t="str">
        <f t="shared" si="9"/>
        <v>[S08_PenaltiesAllocation][3][MaxFine]</v>
      </c>
    </row>
    <row r="622" spans="1:15" x14ac:dyDescent="0.3">
      <c r="A622" t="s">
        <v>2277</v>
      </c>
      <c r="B622" t="s">
        <v>2117</v>
      </c>
      <c r="C622" t="s">
        <v>2125</v>
      </c>
      <c r="D622">
        <v>0</v>
      </c>
      <c r="E622" t="s">
        <v>1447</v>
      </c>
      <c r="F622" t="s">
        <v>2125</v>
      </c>
      <c r="G622" t="s">
        <v>1759</v>
      </c>
      <c r="H622" t="s">
        <v>2279</v>
      </c>
      <c r="I622" t="s">
        <v>2279</v>
      </c>
      <c r="J622" t="s">
        <v>2279</v>
      </c>
      <c r="K622" t="s">
        <v>2279</v>
      </c>
      <c r="L622" t="s">
        <v>1447</v>
      </c>
      <c r="M622" t="s">
        <v>2279</v>
      </c>
      <c r="N622" t="s">
        <v>2279</v>
      </c>
      <c r="O622" s="190" t="str">
        <f t="shared" si="9"/>
        <v>[PriorPenaltiesEnforced][0][PriorPenaltiesEnforced]</v>
      </c>
    </row>
    <row r="623" spans="1:15" x14ac:dyDescent="0.3">
      <c r="A623" t="s">
        <v>2277</v>
      </c>
      <c r="B623" t="s">
        <v>2130</v>
      </c>
      <c r="C623" t="s">
        <v>2131</v>
      </c>
      <c r="D623">
        <v>0</v>
      </c>
      <c r="E623" t="s">
        <v>1447</v>
      </c>
      <c r="F623" t="s">
        <v>2131</v>
      </c>
      <c r="G623" t="s">
        <v>1759</v>
      </c>
      <c r="H623" t="s">
        <v>2279</v>
      </c>
      <c r="I623" t="s">
        <v>2279</v>
      </c>
      <c r="J623" t="s">
        <v>2279</v>
      </c>
      <c r="K623" t="s">
        <v>2279</v>
      </c>
      <c r="L623" t="s">
        <v>1419</v>
      </c>
      <c r="M623" t="s">
        <v>2279</v>
      </c>
      <c r="N623" t="s">
        <v>2279</v>
      </c>
      <c r="O623" s="190" t="str">
        <f t="shared" si="9"/>
        <v>[InstallationOperatorFees][0][InstallationOperatorFees]</v>
      </c>
    </row>
    <row r="624" spans="1:15" x14ac:dyDescent="0.3">
      <c r="A624" t="s">
        <v>2277</v>
      </c>
      <c r="B624" t="s">
        <v>2130</v>
      </c>
      <c r="C624" t="s">
        <v>2132</v>
      </c>
      <c r="D624">
        <v>1</v>
      </c>
      <c r="E624" t="s">
        <v>1447</v>
      </c>
      <c r="F624" t="s">
        <v>2133</v>
      </c>
      <c r="G624" t="s">
        <v>1806</v>
      </c>
      <c r="H624" t="s">
        <v>2279</v>
      </c>
      <c r="I624" t="s">
        <v>2279</v>
      </c>
      <c r="J624">
        <v>250</v>
      </c>
      <c r="K624" t="s">
        <v>2279</v>
      </c>
      <c r="L624" t="s">
        <v>2279</v>
      </c>
      <c r="M624" t="s">
        <v>2279</v>
      </c>
      <c r="N624" t="s">
        <v>2279</v>
      </c>
      <c r="O624" s="190" t="str">
        <f t="shared" si="9"/>
        <v>[S09_InstallationOperatorFeesPermits][1][FeesAmount]</v>
      </c>
    </row>
    <row r="625" spans="1:15" x14ac:dyDescent="0.3">
      <c r="A625" t="s">
        <v>2277</v>
      </c>
      <c r="B625" t="s">
        <v>2130</v>
      </c>
      <c r="C625" t="s">
        <v>2132</v>
      </c>
      <c r="D625">
        <v>2</v>
      </c>
      <c r="E625" t="s">
        <v>1447</v>
      </c>
      <c r="F625" t="s">
        <v>2133</v>
      </c>
      <c r="G625" t="s">
        <v>1806</v>
      </c>
      <c r="H625" t="s">
        <v>2279</v>
      </c>
      <c r="I625" t="s">
        <v>2279</v>
      </c>
      <c r="J625">
        <v>100</v>
      </c>
      <c r="K625" t="s">
        <v>2279</v>
      </c>
      <c r="L625" t="s">
        <v>2279</v>
      </c>
      <c r="M625" t="s">
        <v>2279</v>
      </c>
      <c r="N625" t="s">
        <v>2279</v>
      </c>
      <c r="O625" s="190" t="str">
        <f t="shared" si="9"/>
        <v>[S09_InstallationOperatorFeesPermits][2][FeesAmount]</v>
      </c>
    </row>
    <row r="626" spans="1:15" x14ac:dyDescent="0.3">
      <c r="A626" t="s">
        <v>2277</v>
      </c>
      <c r="B626" t="s">
        <v>2130</v>
      </c>
      <c r="C626" t="s">
        <v>2132</v>
      </c>
      <c r="D626">
        <v>3</v>
      </c>
      <c r="E626" t="s">
        <v>1447</v>
      </c>
      <c r="F626" t="s">
        <v>2133</v>
      </c>
      <c r="G626" t="s">
        <v>1806</v>
      </c>
      <c r="H626" t="s">
        <v>2279</v>
      </c>
      <c r="I626" t="s">
        <v>2279</v>
      </c>
      <c r="J626">
        <v>0</v>
      </c>
      <c r="K626" t="s">
        <v>2279</v>
      </c>
      <c r="L626" t="s">
        <v>2279</v>
      </c>
      <c r="M626" t="s">
        <v>2279</v>
      </c>
      <c r="N626" t="s">
        <v>2279</v>
      </c>
      <c r="O626" s="190" t="str">
        <f t="shared" si="9"/>
        <v>[S09_InstallationOperatorFeesPermits][3][FeesAmount]</v>
      </c>
    </row>
    <row r="627" spans="1:15" x14ac:dyDescent="0.3">
      <c r="A627" t="s">
        <v>2277</v>
      </c>
      <c r="B627" t="s">
        <v>2130</v>
      </c>
      <c r="C627" t="s">
        <v>2132</v>
      </c>
      <c r="D627">
        <v>4</v>
      </c>
      <c r="E627" t="s">
        <v>1447</v>
      </c>
      <c r="F627" t="s">
        <v>2133</v>
      </c>
      <c r="G627" t="s">
        <v>1806</v>
      </c>
      <c r="H627" t="s">
        <v>2279</v>
      </c>
      <c r="I627" t="s">
        <v>2279</v>
      </c>
      <c r="J627">
        <v>0</v>
      </c>
      <c r="K627" t="s">
        <v>2279</v>
      </c>
      <c r="L627" t="s">
        <v>2279</v>
      </c>
      <c r="M627" t="s">
        <v>2279</v>
      </c>
      <c r="N627" t="s">
        <v>2279</v>
      </c>
      <c r="O627" s="190" t="str">
        <f t="shared" si="9"/>
        <v>[S09_InstallationOperatorFeesPermits][4][FeesAmount]</v>
      </c>
    </row>
    <row r="628" spans="1:15" x14ac:dyDescent="0.3">
      <c r="A628" t="s">
        <v>2277</v>
      </c>
      <c r="B628" t="s">
        <v>2130</v>
      </c>
      <c r="C628" t="s">
        <v>2132</v>
      </c>
      <c r="D628">
        <v>5</v>
      </c>
      <c r="E628" t="s">
        <v>1447</v>
      </c>
      <c r="F628" t="s">
        <v>2133</v>
      </c>
      <c r="G628" t="s">
        <v>1806</v>
      </c>
      <c r="H628" t="s">
        <v>2279</v>
      </c>
      <c r="I628" t="s">
        <v>2279</v>
      </c>
      <c r="J628">
        <v>500</v>
      </c>
      <c r="K628" t="s">
        <v>2279</v>
      </c>
      <c r="L628" t="s">
        <v>2279</v>
      </c>
      <c r="M628" t="s">
        <v>2279</v>
      </c>
      <c r="N628" t="s">
        <v>2279</v>
      </c>
      <c r="O628" s="190" t="str">
        <f t="shared" si="9"/>
        <v>[S09_InstallationOperatorFeesPermits][5][FeesAmount]</v>
      </c>
    </row>
    <row r="629" spans="1:15" x14ac:dyDescent="0.3">
      <c r="A629" t="s">
        <v>2277</v>
      </c>
      <c r="B629" t="s">
        <v>2130</v>
      </c>
      <c r="C629" t="s">
        <v>2135</v>
      </c>
      <c r="D629">
        <v>1</v>
      </c>
      <c r="E629" t="s">
        <v>1447</v>
      </c>
      <c r="F629" t="s">
        <v>2133</v>
      </c>
      <c r="G629" t="s">
        <v>1806</v>
      </c>
      <c r="H629" t="s">
        <v>2279</v>
      </c>
      <c r="I629" t="s">
        <v>2279</v>
      </c>
      <c r="J629">
        <v>0</v>
      </c>
      <c r="K629" t="s">
        <v>2279</v>
      </c>
      <c r="L629" t="s">
        <v>2279</v>
      </c>
      <c r="M629" t="s">
        <v>2279</v>
      </c>
      <c r="N629" t="s">
        <v>2279</v>
      </c>
      <c r="O629" s="190" t="str">
        <f t="shared" si="9"/>
        <v>[S09_InstallationOperatorFeesSubsistence][1][FeesAmount]</v>
      </c>
    </row>
    <row r="630" spans="1:15" x14ac:dyDescent="0.3">
      <c r="A630" t="s">
        <v>2277</v>
      </c>
      <c r="B630" t="s">
        <v>2136</v>
      </c>
      <c r="C630" t="s">
        <v>2137</v>
      </c>
      <c r="D630">
        <v>0</v>
      </c>
      <c r="E630" t="s">
        <v>1447</v>
      </c>
      <c r="F630" t="s">
        <v>2137</v>
      </c>
      <c r="G630" t="s">
        <v>1759</v>
      </c>
      <c r="H630" t="s">
        <v>2279</v>
      </c>
      <c r="I630" t="s">
        <v>2279</v>
      </c>
      <c r="J630" t="s">
        <v>2279</v>
      </c>
      <c r="K630" t="s">
        <v>2279</v>
      </c>
      <c r="L630" t="s">
        <v>1419</v>
      </c>
      <c r="M630" t="s">
        <v>2279</v>
      </c>
      <c r="N630" t="s">
        <v>2279</v>
      </c>
      <c r="O630" s="190" t="str">
        <f t="shared" si="9"/>
        <v>[AircraftOperatorFees][0][AircraftOperatorFees]</v>
      </c>
    </row>
    <row r="631" spans="1:15" x14ac:dyDescent="0.3">
      <c r="A631" t="s">
        <v>2277</v>
      </c>
      <c r="B631" t="s">
        <v>2136</v>
      </c>
      <c r="C631" t="s">
        <v>2138</v>
      </c>
      <c r="D631">
        <v>1</v>
      </c>
      <c r="E631" t="s">
        <v>1447</v>
      </c>
      <c r="F631" t="s">
        <v>2133</v>
      </c>
      <c r="G631" t="s">
        <v>1806</v>
      </c>
      <c r="H631" t="s">
        <v>2279</v>
      </c>
      <c r="I631" t="s">
        <v>2279</v>
      </c>
      <c r="J631">
        <v>500</v>
      </c>
      <c r="K631" t="s">
        <v>2279</v>
      </c>
      <c r="L631" t="s">
        <v>2279</v>
      </c>
      <c r="M631" t="s">
        <v>2279</v>
      </c>
      <c r="N631" t="s">
        <v>2279</v>
      </c>
      <c r="O631" s="190" t="str">
        <f t="shared" si="9"/>
        <v>[S09_AircraftOperatorFeesMonitoringPlans][1][FeesAmount]</v>
      </c>
    </row>
    <row r="632" spans="1:15" x14ac:dyDescent="0.3">
      <c r="A632" t="s">
        <v>2277</v>
      </c>
      <c r="B632" t="s">
        <v>2136</v>
      </c>
      <c r="C632" t="s">
        <v>2138</v>
      </c>
      <c r="D632">
        <v>2</v>
      </c>
      <c r="E632" t="s">
        <v>1447</v>
      </c>
      <c r="F632" t="s">
        <v>2133</v>
      </c>
      <c r="G632" t="s">
        <v>1806</v>
      </c>
      <c r="H632" t="s">
        <v>2279</v>
      </c>
      <c r="I632" t="s">
        <v>2279</v>
      </c>
      <c r="J632">
        <v>50</v>
      </c>
      <c r="K632" t="s">
        <v>2279</v>
      </c>
      <c r="L632" t="s">
        <v>2279</v>
      </c>
      <c r="M632" t="s">
        <v>2279</v>
      </c>
      <c r="N632" t="s">
        <v>2279</v>
      </c>
      <c r="O632" s="190" t="str">
        <f t="shared" si="9"/>
        <v>[S09_AircraftOperatorFeesMonitoringPlans][2][FeesAmount]</v>
      </c>
    </row>
    <row r="633" spans="1:15" x14ac:dyDescent="0.3">
      <c r="A633" t="s">
        <v>2277</v>
      </c>
      <c r="B633" t="s">
        <v>2136</v>
      </c>
      <c r="C633" t="s">
        <v>2138</v>
      </c>
      <c r="D633">
        <v>3</v>
      </c>
      <c r="E633" t="s">
        <v>1447</v>
      </c>
      <c r="F633" t="s">
        <v>2133</v>
      </c>
      <c r="G633" t="s">
        <v>1806</v>
      </c>
      <c r="H633" t="s">
        <v>2279</v>
      </c>
      <c r="I633" t="s">
        <v>2279</v>
      </c>
      <c r="J633">
        <v>500</v>
      </c>
      <c r="K633" t="s">
        <v>2279</v>
      </c>
      <c r="L633" t="s">
        <v>2279</v>
      </c>
      <c r="M633" t="s">
        <v>2279</v>
      </c>
      <c r="N633" t="s">
        <v>2279</v>
      </c>
      <c r="O633" s="190" t="str">
        <f t="shared" si="9"/>
        <v>[S09_AircraftOperatorFeesMonitoringPlans][3][FeesAmount]</v>
      </c>
    </row>
    <row r="634" spans="1:15" x14ac:dyDescent="0.3">
      <c r="A634" t="s">
        <v>2277</v>
      </c>
      <c r="B634" t="s">
        <v>2136</v>
      </c>
      <c r="C634" t="s">
        <v>2138</v>
      </c>
      <c r="D634">
        <v>4</v>
      </c>
      <c r="E634" t="s">
        <v>1447</v>
      </c>
      <c r="F634" t="s">
        <v>2133</v>
      </c>
      <c r="G634" t="s">
        <v>1806</v>
      </c>
      <c r="H634" t="s">
        <v>2279</v>
      </c>
      <c r="I634" t="s">
        <v>2279</v>
      </c>
      <c r="J634">
        <v>50</v>
      </c>
      <c r="K634" t="s">
        <v>2279</v>
      </c>
      <c r="L634" t="s">
        <v>2279</v>
      </c>
      <c r="M634" t="s">
        <v>2279</v>
      </c>
      <c r="N634" t="s">
        <v>2279</v>
      </c>
      <c r="O634" s="190" t="str">
        <f t="shared" si="9"/>
        <v>[S09_AircraftOperatorFeesMonitoringPlans][4][FeesAmount]</v>
      </c>
    </row>
    <row r="635" spans="1:15" x14ac:dyDescent="0.3">
      <c r="A635" t="s">
        <v>2277</v>
      </c>
      <c r="B635" t="s">
        <v>2136</v>
      </c>
      <c r="C635" t="s">
        <v>2138</v>
      </c>
      <c r="D635">
        <v>5</v>
      </c>
      <c r="E635" t="s">
        <v>1447</v>
      </c>
      <c r="F635" t="s">
        <v>2133</v>
      </c>
      <c r="G635" t="s">
        <v>1806</v>
      </c>
      <c r="H635" t="s">
        <v>2279</v>
      </c>
      <c r="I635" t="s">
        <v>2279</v>
      </c>
      <c r="J635">
        <v>0</v>
      </c>
      <c r="K635" t="s">
        <v>2279</v>
      </c>
      <c r="L635" t="s">
        <v>2279</v>
      </c>
      <c r="M635" t="s">
        <v>2279</v>
      </c>
      <c r="N635" t="s">
        <v>2279</v>
      </c>
      <c r="O635" s="190" t="str">
        <f t="shared" si="9"/>
        <v>[S09_AircraftOperatorFeesMonitoringPlans][5][FeesAmount]</v>
      </c>
    </row>
    <row r="636" spans="1:15" x14ac:dyDescent="0.3">
      <c r="A636" t="s">
        <v>2277</v>
      </c>
      <c r="B636" t="s">
        <v>2136</v>
      </c>
      <c r="C636" t="s">
        <v>2138</v>
      </c>
      <c r="D636">
        <v>6</v>
      </c>
      <c r="E636" t="s">
        <v>1447</v>
      </c>
      <c r="F636" t="s">
        <v>2133</v>
      </c>
      <c r="G636" t="s">
        <v>1806</v>
      </c>
      <c r="H636" t="s">
        <v>2279</v>
      </c>
      <c r="I636" t="s">
        <v>2279</v>
      </c>
      <c r="J636">
        <v>0</v>
      </c>
      <c r="K636" t="s">
        <v>2279</v>
      </c>
      <c r="L636" t="s">
        <v>2279</v>
      </c>
      <c r="M636" t="s">
        <v>2279</v>
      </c>
      <c r="N636" t="s">
        <v>2279</v>
      </c>
      <c r="O636" s="190" t="str">
        <f t="shared" si="9"/>
        <v>[S09_AircraftOperatorFeesMonitoringPlans][6][FeesAmount]</v>
      </c>
    </row>
    <row r="637" spans="1:15" x14ac:dyDescent="0.3">
      <c r="A637" t="s">
        <v>2277</v>
      </c>
      <c r="B637" t="s">
        <v>2136</v>
      </c>
      <c r="C637" t="s">
        <v>2139</v>
      </c>
      <c r="D637">
        <v>1</v>
      </c>
      <c r="E637" t="s">
        <v>1447</v>
      </c>
      <c r="F637" t="s">
        <v>2133</v>
      </c>
      <c r="G637" t="s">
        <v>1806</v>
      </c>
      <c r="H637" t="s">
        <v>2279</v>
      </c>
      <c r="I637" t="s">
        <v>2279</v>
      </c>
      <c r="J637">
        <v>0</v>
      </c>
      <c r="K637" t="s">
        <v>2279</v>
      </c>
      <c r="L637" t="s">
        <v>2279</v>
      </c>
      <c r="M637" t="s">
        <v>2279</v>
      </c>
      <c r="N637" t="s">
        <v>2279</v>
      </c>
      <c r="O637" s="190" t="str">
        <f t="shared" si="9"/>
        <v>[S09_AircraftOperatorFeesSubsistence][1][FeesAmount]</v>
      </c>
    </row>
    <row r="638" spans="1:15" x14ac:dyDescent="0.3">
      <c r="A638" t="s">
        <v>2277</v>
      </c>
      <c r="B638" t="s">
        <v>2136</v>
      </c>
      <c r="C638" t="s">
        <v>2140</v>
      </c>
      <c r="D638">
        <v>1</v>
      </c>
      <c r="E638" t="s">
        <v>1447</v>
      </c>
      <c r="F638" t="s">
        <v>2141</v>
      </c>
      <c r="G638" t="s">
        <v>1741</v>
      </c>
      <c r="H638" t="s">
        <v>2341</v>
      </c>
      <c r="I638" t="s">
        <v>2279</v>
      </c>
      <c r="J638" t="s">
        <v>2279</v>
      </c>
      <c r="K638" t="s">
        <v>2279</v>
      </c>
      <c r="L638" t="s">
        <v>2279</v>
      </c>
      <c r="M638" t="s">
        <v>2279</v>
      </c>
      <c r="N638" t="s">
        <v>2279</v>
      </c>
      <c r="O638" s="190" t="str">
        <f t="shared" si="9"/>
        <v>[S09_RegistryAccountOneOffFees][1][OneOffFeeReason]</v>
      </c>
    </row>
    <row r="639" spans="1:15" x14ac:dyDescent="0.3">
      <c r="A639" t="s">
        <v>2277</v>
      </c>
      <c r="B639" t="s">
        <v>2136</v>
      </c>
      <c r="C639" t="s">
        <v>2140</v>
      </c>
      <c r="D639">
        <v>2</v>
      </c>
      <c r="E639" t="s">
        <v>1447</v>
      </c>
      <c r="F639" t="s">
        <v>2141</v>
      </c>
      <c r="G639" t="s">
        <v>1741</v>
      </c>
      <c r="H639" t="s">
        <v>2342</v>
      </c>
      <c r="I639" t="s">
        <v>2279</v>
      </c>
      <c r="J639" t="s">
        <v>2279</v>
      </c>
      <c r="K639" t="s">
        <v>2279</v>
      </c>
      <c r="L639" t="s">
        <v>2279</v>
      </c>
      <c r="M639" t="s">
        <v>2279</v>
      </c>
      <c r="N639" t="s">
        <v>2279</v>
      </c>
      <c r="O639" s="190" t="str">
        <f t="shared" si="9"/>
        <v>[S09_RegistryAccountOneOffFees][2][OneOffFeeReason]</v>
      </c>
    </row>
    <row r="640" spans="1:15" x14ac:dyDescent="0.3">
      <c r="A640" t="s">
        <v>2277</v>
      </c>
      <c r="B640" t="s">
        <v>2136</v>
      </c>
      <c r="C640" t="s">
        <v>2140</v>
      </c>
      <c r="D640">
        <v>3</v>
      </c>
      <c r="E640" t="s">
        <v>1447</v>
      </c>
      <c r="F640" t="s">
        <v>2141</v>
      </c>
      <c r="G640" t="s">
        <v>1741</v>
      </c>
      <c r="H640" t="s">
        <v>2343</v>
      </c>
      <c r="I640" t="s">
        <v>2279</v>
      </c>
      <c r="J640" t="s">
        <v>2279</v>
      </c>
      <c r="K640" t="s">
        <v>2279</v>
      </c>
      <c r="L640" t="s">
        <v>2279</v>
      </c>
      <c r="M640" t="s">
        <v>2279</v>
      </c>
      <c r="N640" t="s">
        <v>2279</v>
      </c>
      <c r="O640" s="190" t="str">
        <f t="shared" si="9"/>
        <v>[S09_RegistryAccountOneOffFees][3][OneOffFeeReason]</v>
      </c>
    </row>
    <row r="641" spans="1:15" x14ac:dyDescent="0.3">
      <c r="A641" t="s">
        <v>2277</v>
      </c>
      <c r="B641" t="s">
        <v>2136</v>
      </c>
      <c r="C641" t="s">
        <v>2140</v>
      </c>
      <c r="D641">
        <v>1</v>
      </c>
      <c r="E641" t="s">
        <v>1447</v>
      </c>
      <c r="F641" t="s">
        <v>2142</v>
      </c>
      <c r="G641" t="s">
        <v>1806</v>
      </c>
      <c r="H641" t="s">
        <v>2279</v>
      </c>
      <c r="I641" t="s">
        <v>2279</v>
      </c>
      <c r="J641">
        <v>100</v>
      </c>
      <c r="K641" t="s">
        <v>2279</v>
      </c>
      <c r="L641" t="s">
        <v>2279</v>
      </c>
      <c r="M641" t="s">
        <v>2279</v>
      </c>
      <c r="N641" t="s">
        <v>2279</v>
      </c>
      <c r="O641" s="190" t="str">
        <f t="shared" si="9"/>
        <v>[S09_RegistryAccountOneOffFees][1][OneOffFeeAmount]</v>
      </c>
    </row>
    <row r="642" spans="1:15" x14ac:dyDescent="0.3">
      <c r="A642" t="s">
        <v>2277</v>
      </c>
      <c r="B642" t="s">
        <v>2136</v>
      </c>
      <c r="C642" t="s">
        <v>2140</v>
      </c>
      <c r="D642">
        <v>2</v>
      </c>
      <c r="E642" t="s">
        <v>1447</v>
      </c>
      <c r="F642" t="s">
        <v>2142</v>
      </c>
      <c r="G642" t="s">
        <v>1806</v>
      </c>
      <c r="H642" t="s">
        <v>2279</v>
      </c>
      <c r="I642" t="s">
        <v>2279</v>
      </c>
      <c r="J642">
        <v>175</v>
      </c>
      <c r="K642" t="s">
        <v>2279</v>
      </c>
      <c r="L642" t="s">
        <v>2279</v>
      </c>
      <c r="M642" t="s">
        <v>2279</v>
      </c>
      <c r="N642" t="s">
        <v>2279</v>
      </c>
      <c r="O642" s="190" t="str">
        <f t="shared" ref="O642:O705" si="10">"["&amp;$C642&amp;"]["&amp;$D642&amp;"]["&amp;$F642&amp;"]"</f>
        <v>[S09_RegistryAccountOneOffFees][2][OneOffFeeAmount]</v>
      </c>
    </row>
    <row r="643" spans="1:15" x14ac:dyDescent="0.3">
      <c r="A643" t="s">
        <v>2277</v>
      </c>
      <c r="B643" t="s">
        <v>2136</v>
      </c>
      <c r="C643" t="s">
        <v>2140</v>
      </c>
      <c r="D643">
        <v>3</v>
      </c>
      <c r="E643" t="s">
        <v>1447</v>
      </c>
      <c r="F643" t="s">
        <v>2142</v>
      </c>
      <c r="G643" t="s">
        <v>1806</v>
      </c>
      <c r="H643" t="s">
        <v>2279</v>
      </c>
      <c r="I643" t="s">
        <v>2279</v>
      </c>
      <c r="J643">
        <v>50</v>
      </c>
      <c r="K643" t="s">
        <v>2279</v>
      </c>
      <c r="L643" t="s">
        <v>2279</v>
      </c>
      <c r="M643" t="s">
        <v>2279</v>
      </c>
      <c r="N643" t="s">
        <v>2279</v>
      </c>
      <c r="O643" s="190" t="str">
        <f t="shared" si="10"/>
        <v>[S09_RegistryAccountOneOffFees][3][OneOffFeeAmount]</v>
      </c>
    </row>
    <row r="644" spans="1:15" x14ac:dyDescent="0.3">
      <c r="A644" t="s">
        <v>2277</v>
      </c>
      <c r="B644" t="s">
        <v>2136</v>
      </c>
      <c r="C644" t="s">
        <v>2143</v>
      </c>
      <c r="D644">
        <v>1</v>
      </c>
      <c r="E644" t="s">
        <v>1447</v>
      </c>
      <c r="F644" t="s">
        <v>2144</v>
      </c>
      <c r="G644" t="s">
        <v>1741</v>
      </c>
      <c r="H644" t="s">
        <v>2344</v>
      </c>
      <c r="I644" t="s">
        <v>2279</v>
      </c>
      <c r="J644" t="s">
        <v>2279</v>
      </c>
      <c r="K644" t="s">
        <v>2279</v>
      </c>
      <c r="L644" t="s">
        <v>2279</v>
      </c>
      <c r="M644" t="s">
        <v>2279</v>
      </c>
      <c r="N644" t="s">
        <v>2279</v>
      </c>
      <c r="O644" s="190" t="str">
        <f t="shared" si="10"/>
        <v>[S09_RegistryAccountAnnualFees][1][AnnualFeeReason]</v>
      </c>
    </row>
    <row r="645" spans="1:15" x14ac:dyDescent="0.3">
      <c r="A645" t="s">
        <v>2277</v>
      </c>
      <c r="B645" t="s">
        <v>2136</v>
      </c>
      <c r="C645" t="s">
        <v>2143</v>
      </c>
      <c r="D645">
        <v>2</v>
      </c>
      <c r="E645" t="s">
        <v>1447</v>
      </c>
      <c r="F645" t="s">
        <v>2144</v>
      </c>
      <c r="G645" t="s">
        <v>1741</v>
      </c>
      <c r="H645" t="s">
        <v>2345</v>
      </c>
      <c r="I645" t="s">
        <v>2279</v>
      </c>
      <c r="J645" t="s">
        <v>2279</v>
      </c>
      <c r="K645" t="s">
        <v>2279</v>
      </c>
      <c r="L645" t="s">
        <v>2279</v>
      </c>
      <c r="M645" t="s">
        <v>2279</v>
      </c>
      <c r="N645" t="s">
        <v>2279</v>
      </c>
      <c r="O645" s="190" t="str">
        <f t="shared" si="10"/>
        <v>[S09_RegistryAccountAnnualFees][2][AnnualFeeReason]</v>
      </c>
    </row>
    <row r="646" spans="1:15" x14ac:dyDescent="0.3">
      <c r="A646" t="s">
        <v>2277</v>
      </c>
      <c r="B646" t="s">
        <v>2136</v>
      </c>
      <c r="C646" t="s">
        <v>2143</v>
      </c>
      <c r="D646">
        <v>3</v>
      </c>
      <c r="E646" t="s">
        <v>1447</v>
      </c>
      <c r="F646" t="s">
        <v>2144</v>
      </c>
      <c r="G646" t="s">
        <v>1741</v>
      </c>
      <c r="H646" t="s">
        <v>2346</v>
      </c>
      <c r="I646" t="s">
        <v>2279</v>
      </c>
      <c r="J646" t="s">
        <v>2279</v>
      </c>
      <c r="K646" t="s">
        <v>2279</v>
      </c>
      <c r="L646" t="s">
        <v>2279</v>
      </c>
      <c r="M646" t="s">
        <v>2279</v>
      </c>
      <c r="N646" t="s">
        <v>2279</v>
      </c>
      <c r="O646" s="190" t="str">
        <f t="shared" si="10"/>
        <v>[S09_RegistryAccountAnnualFees][3][AnnualFeeReason]</v>
      </c>
    </row>
    <row r="647" spans="1:15" x14ac:dyDescent="0.3">
      <c r="A647" t="s">
        <v>2277</v>
      </c>
      <c r="B647" t="s">
        <v>2136</v>
      </c>
      <c r="C647" t="s">
        <v>2143</v>
      </c>
      <c r="D647">
        <v>1</v>
      </c>
      <c r="E647" t="s">
        <v>1447</v>
      </c>
      <c r="F647" t="s">
        <v>2145</v>
      </c>
      <c r="G647" t="s">
        <v>1806</v>
      </c>
      <c r="H647" t="s">
        <v>2279</v>
      </c>
      <c r="I647" t="s">
        <v>2279</v>
      </c>
      <c r="J647">
        <v>50</v>
      </c>
      <c r="K647" t="s">
        <v>2279</v>
      </c>
      <c r="L647" t="s">
        <v>2279</v>
      </c>
      <c r="M647" t="s">
        <v>2279</v>
      </c>
      <c r="N647" t="s">
        <v>2279</v>
      </c>
      <c r="O647" s="190" t="str">
        <f t="shared" si="10"/>
        <v>[S09_RegistryAccountAnnualFees][1][AnnualFeeAmount]</v>
      </c>
    </row>
    <row r="648" spans="1:15" x14ac:dyDescent="0.3">
      <c r="A648" t="s">
        <v>2277</v>
      </c>
      <c r="B648" t="s">
        <v>2136</v>
      </c>
      <c r="C648" t="s">
        <v>2143</v>
      </c>
      <c r="D648">
        <v>2</v>
      </c>
      <c r="E648" t="s">
        <v>1447</v>
      </c>
      <c r="F648" t="s">
        <v>2145</v>
      </c>
      <c r="G648" t="s">
        <v>1806</v>
      </c>
      <c r="H648" t="s">
        <v>2279</v>
      </c>
      <c r="I648" t="s">
        <v>2279</v>
      </c>
      <c r="J648">
        <v>175</v>
      </c>
      <c r="K648" t="s">
        <v>2279</v>
      </c>
      <c r="L648" t="s">
        <v>2279</v>
      </c>
      <c r="M648" t="s">
        <v>2279</v>
      </c>
      <c r="N648" t="s">
        <v>2279</v>
      </c>
      <c r="O648" s="190" t="str">
        <f t="shared" si="10"/>
        <v>[S09_RegistryAccountAnnualFees][2][AnnualFeeAmount]</v>
      </c>
    </row>
    <row r="649" spans="1:15" x14ac:dyDescent="0.3">
      <c r="A649" t="s">
        <v>2277</v>
      </c>
      <c r="B649" t="s">
        <v>2136</v>
      </c>
      <c r="C649" t="s">
        <v>2143</v>
      </c>
      <c r="D649">
        <v>3</v>
      </c>
      <c r="E649" t="s">
        <v>1447</v>
      </c>
      <c r="F649" t="s">
        <v>2145</v>
      </c>
      <c r="G649" t="s">
        <v>1806</v>
      </c>
      <c r="H649" t="s">
        <v>2279</v>
      </c>
      <c r="I649" t="s">
        <v>2279</v>
      </c>
      <c r="J649">
        <v>100</v>
      </c>
      <c r="K649" t="s">
        <v>2279</v>
      </c>
      <c r="L649" t="s">
        <v>2279</v>
      </c>
      <c r="M649" t="s">
        <v>2279</v>
      </c>
      <c r="N649" t="s">
        <v>2279</v>
      </c>
      <c r="O649" s="190" t="str">
        <f t="shared" si="10"/>
        <v>[S09_RegistryAccountAnnualFees][3][AnnualFeeAmount]</v>
      </c>
    </row>
    <row r="650" spans="1:15" x14ac:dyDescent="0.3">
      <c r="A650" t="s">
        <v>2277</v>
      </c>
      <c r="B650" t="s">
        <v>2146</v>
      </c>
      <c r="C650" t="s">
        <v>2147</v>
      </c>
      <c r="D650">
        <v>1</v>
      </c>
      <c r="E650" t="s">
        <v>1447</v>
      </c>
      <c r="F650" t="s">
        <v>2148</v>
      </c>
      <c r="G650" t="s">
        <v>1759</v>
      </c>
      <c r="H650" t="s">
        <v>2279</v>
      </c>
      <c r="I650" t="s">
        <v>2279</v>
      </c>
      <c r="J650" t="s">
        <v>2279</v>
      </c>
      <c r="K650" t="s">
        <v>2279</v>
      </c>
      <c r="L650" t="s">
        <v>1419</v>
      </c>
      <c r="M650" t="s">
        <v>2279</v>
      </c>
      <c r="N650" t="s">
        <v>2279</v>
      </c>
      <c r="O650" s="190" t="str">
        <f t="shared" si="10"/>
        <v>[S10_InstallationsComplianceMeasures][1][ComplianceMeasuresYesNo]</v>
      </c>
    </row>
    <row r="651" spans="1:15" x14ac:dyDescent="0.3">
      <c r="A651" t="s">
        <v>2277</v>
      </c>
      <c r="B651" t="s">
        <v>2146</v>
      </c>
      <c r="C651" t="s">
        <v>2147</v>
      </c>
      <c r="D651">
        <v>2</v>
      </c>
      <c r="E651" t="s">
        <v>1447</v>
      </c>
      <c r="F651" t="s">
        <v>2148</v>
      </c>
      <c r="G651" t="s">
        <v>1759</v>
      </c>
      <c r="H651" t="s">
        <v>2279</v>
      </c>
      <c r="I651" t="s">
        <v>2279</v>
      </c>
      <c r="J651" t="s">
        <v>2279</v>
      </c>
      <c r="K651" t="s">
        <v>2279</v>
      </c>
      <c r="L651" t="s">
        <v>1419</v>
      </c>
      <c r="M651" t="s">
        <v>2279</v>
      </c>
      <c r="N651" t="s">
        <v>2279</v>
      </c>
      <c r="O651" s="190" t="str">
        <f t="shared" si="10"/>
        <v>[S10_InstallationsComplianceMeasures][2][ComplianceMeasuresYesNo]</v>
      </c>
    </row>
    <row r="652" spans="1:15" x14ac:dyDescent="0.3">
      <c r="A652" t="s">
        <v>2277</v>
      </c>
      <c r="B652" t="s">
        <v>2146</v>
      </c>
      <c r="C652" t="s">
        <v>2147</v>
      </c>
      <c r="D652">
        <v>3</v>
      </c>
      <c r="E652" t="s">
        <v>1447</v>
      </c>
      <c r="F652" t="s">
        <v>2148</v>
      </c>
      <c r="G652" t="s">
        <v>1759</v>
      </c>
      <c r="H652" t="s">
        <v>2279</v>
      </c>
      <c r="I652" t="s">
        <v>2279</v>
      </c>
      <c r="J652" t="s">
        <v>2279</v>
      </c>
      <c r="K652" t="s">
        <v>2279</v>
      </c>
      <c r="L652" t="s">
        <v>1419</v>
      </c>
      <c r="M652" t="s">
        <v>2279</v>
      </c>
      <c r="N652" t="s">
        <v>2279</v>
      </c>
      <c r="O652" s="190" t="str">
        <f t="shared" si="10"/>
        <v>[S10_InstallationsComplianceMeasures][3][ComplianceMeasuresYesNo]</v>
      </c>
    </row>
    <row r="653" spans="1:15" x14ac:dyDescent="0.3">
      <c r="A653" t="s">
        <v>2277</v>
      </c>
      <c r="B653" t="s">
        <v>2146</v>
      </c>
      <c r="C653" t="s">
        <v>2147</v>
      </c>
      <c r="D653">
        <v>4</v>
      </c>
      <c r="E653" t="s">
        <v>1447</v>
      </c>
      <c r="F653" t="s">
        <v>2148</v>
      </c>
      <c r="G653" t="s">
        <v>1759</v>
      </c>
      <c r="H653" t="s">
        <v>2279</v>
      </c>
      <c r="I653" t="s">
        <v>2279</v>
      </c>
      <c r="J653" t="s">
        <v>2279</v>
      </c>
      <c r="K653" t="s">
        <v>2279</v>
      </c>
      <c r="L653" t="s">
        <v>1419</v>
      </c>
      <c r="M653" t="s">
        <v>2279</v>
      </c>
      <c r="N653" t="s">
        <v>2279</v>
      </c>
      <c r="O653" s="190" t="str">
        <f t="shared" si="10"/>
        <v>[S10_InstallationsComplianceMeasures][4][ComplianceMeasuresYesNo]</v>
      </c>
    </row>
    <row r="654" spans="1:15" x14ac:dyDescent="0.3">
      <c r="A654" t="s">
        <v>2277</v>
      </c>
      <c r="B654" t="s">
        <v>2151</v>
      </c>
      <c r="C654" t="s">
        <v>2152</v>
      </c>
      <c r="D654">
        <v>1</v>
      </c>
      <c r="E654" t="s">
        <v>1447</v>
      </c>
      <c r="F654" t="s">
        <v>2111</v>
      </c>
      <c r="G654" t="s">
        <v>1806</v>
      </c>
      <c r="H654" t="s">
        <v>2279</v>
      </c>
      <c r="I654" t="s">
        <v>2279</v>
      </c>
      <c r="J654">
        <v>2500</v>
      </c>
      <c r="K654" t="s">
        <v>2279</v>
      </c>
      <c r="L654" t="s">
        <v>2279</v>
      </c>
      <c r="M654" t="s">
        <v>2279</v>
      </c>
      <c r="N654" t="s">
        <v>2279</v>
      </c>
      <c r="O654" s="190" t="str">
        <f t="shared" si="10"/>
        <v>[S10_InstallationsInfringementPenalties][1][MinFine]</v>
      </c>
    </row>
    <row r="655" spans="1:15" x14ac:dyDescent="0.3">
      <c r="A655" t="s">
        <v>2277</v>
      </c>
      <c r="B655" t="s">
        <v>2151</v>
      </c>
      <c r="C655" t="s">
        <v>2152</v>
      </c>
      <c r="D655">
        <v>2</v>
      </c>
      <c r="E655" t="s">
        <v>1447</v>
      </c>
      <c r="F655" t="s">
        <v>2111</v>
      </c>
      <c r="G655" t="s">
        <v>1806</v>
      </c>
      <c r="H655" t="s">
        <v>2279</v>
      </c>
      <c r="I655" t="s">
        <v>2279</v>
      </c>
      <c r="J655">
        <v>500</v>
      </c>
      <c r="K655" t="s">
        <v>2279</v>
      </c>
      <c r="L655" t="s">
        <v>2279</v>
      </c>
      <c r="M655" t="s">
        <v>2279</v>
      </c>
      <c r="N655" t="s">
        <v>2279</v>
      </c>
      <c r="O655" s="190" t="str">
        <f t="shared" si="10"/>
        <v>[S10_InstallationsInfringementPenalties][2][MinFine]</v>
      </c>
    </row>
    <row r="656" spans="1:15" x14ac:dyDescent="0.3">
      <c r="A656" t="s">
        <v>2277</v>
      </c>
      <c r="B656" t="s">
        <v>2151</v>
      </c>
      <c r="C656" t="s">
        <v>2152</v>
      </c>
      <c r="D656">
        <v>3</v>
      </c>
      <c r="E656" t="s">
        <v>1447</v>
      </c>
      <c r="F656" t="s">
        <v>2111</v>
      </c>
      <c r="G656" t="s">
        <v>1806</v>
      </c>
      <c r="H656" t="s">
        <v>2279</v>
      </c>
      <c r="I656" t="s">
        <v>2279</v>
      </c>
      <c r="J656">
        <v>2500</v>
      </c>
      <c r="K656" t="s">
        <v>2279</v>
      </c>
      <c r="L656" t="s">
        <v>2279</v>
      </c>
      <c r="M656" t="s">
        <v>2279</v>
      </c>
      <c r="N656" t="s">
        <v>2279</v>
      </c>
      <c r="O656" s="190" t="str">
        <f t="shared" si="10"/>
        <v>[S10_InstallationsInfringementPenalties][3][MinFine]</v>
      </c>
    </row>
    <row r="657" spans="1:15" x14ac:dyDescent="0.3">
      <c r="A657" t="s">
        <v>2277</v>
      </c>
      <c r="B657" t="s">
        <v>2151</v>
      </c>
      <c r="C657" t="s">
        <v>2152</v>
      </c>
      <c r="D657">
        <v>4</v>
      </c>
      <c r="E657" t="s">
        <v>1447</v>
      </c>
      <c r="F657" t="s">
        <v>2111</v>
      </c>
      <c r="G657" t="s">
        <v>1806</v>
      </c>
      <c r="H657" t="s">
        <v>2279</v>
      </c>
      <c r="I657" t="s">
        <v>2279</v>
      </c>
      <c r="J657">
        <v>0</v>
      </c>
      <c r="K657" t="s">
        <v>2279</v>
      </c>
      <c r="L657" t="s">
        <v>2279</v>
      </c>
      <c r="M657" t="s">
        <v>2279</v>
      </c>
      <c r="N657" t="s">
        <v>2279</v>
      </c>
      <c r="O657" s="190" t="str">
        <f t="shared" si="10"/>
        <v>[S10_InstallationsInfringementPenalties][4][MinFine]</v>
      </c>
    </row>
    <row r="658" spans="1:15" x14ac:dyDescent="0.3">
      <c r="A658" t="s">
        <v>2277</v>
      </c>
      <c r="B658" t="s">
        <v>2151</v>
      </c>
      <c r="C658" t="s">
        <v>2152</v>
      </c>
      <c r="D658">
        <v>5</v>
      </c>
      <c r="E658" t="s">
        <v>1447</v>
      </c>
      <c r="F658" t="s">
        <v>2111</v>
      </c>
      <c r="G658" t="s">
        <v>1806</v>
      </c>
      <c r="H658" t="s">
        <v>2279</v>
      </c>
      <c r="I658" t="s">
        <v>2279</v>
      </c>
      <c r="J658">
        <v>0</v>
      </c>
      <c r="K658" t="s">
        <v>2279</v>
      </c>
      <c r="L658" t="s">
        <v>2279</v>
      </c>
      <c r="M658" t="s">
        <v>2279</v>
      </c>
      <c r="N658" t="s">
        <v>2279</v>
      </c>
      <c r="O658" s="190" t="str">
        <f t="shared" si="10"/>
        <v>[S10_InstallationsInfringementPenalties][5][MinFine]</v>
      </c>
    </row>
    <row r="659" spans="1:15" x14ac:dyDescent="0.3">
      <c r="A659" t="s">
        <v>2277</v>
      </c>
      <c r="B659" t="s">
        <v>2151</v>
      </c>
      <c r="C659" t="s">
        <v>2152</v>
      </c>
      <c r="D659">
        <v>6</v>
      </c>
      <c r="E659" t="s">
        <v>1447</v>
      </c>
      <c r="F659" t="s">
        <v>2111</v>
      </c>
      <c r="G659" t="s">
        <v>1806</v>
      </c>
      <c r="H659" t="s">
        <v>2279</v>
      </c>
      <c r="I659" t="s">
        <v>2279</v>
      </c>
      <c r="J659">
        <v>500</v>
      </c>
      <c r="K659" t="s">
        <v>2279</v>
      </c>
      <c r="L659" t="s">
        <v>2279</v>
      </c>
      <c r="M659" t="s">
        <v>2279</v>
      </c>
      <c r="N659" t="s">
        <v>2279</v>
      </c>
      <c r="O659" s="190" t="str">
        <f t="shared" si="10"/>
        <v>[S10_InstallationsInfringementPenalties][6][MinFine]</v>
      </c>
    </row>
    <row r="660" spans="1:15" x14ac:dyDescent="0.3">
      <c r="A660" t="s">
        <v>2277</v>
      </c>
      <c r="B660" t="s">
        <v>2151</v>
      </c>
      <c r="C660" t="s">
        <v>2152</v>
      </c>
      <c r="D660">
        <v>7</v>
      </c>
      <c r="E660" t="s">
        <v>1447</v>
      </c>
      <c r="F660" t="s">
        <v>2111</v>
      </c>
      <c r="G660" t="s">
        <v>1806</v>
      </c>
      <c r="H660" t="s">
        <v>2279</v>
      </c>
      <c r="I660" t="s">
        <v>2279</v>
      </c>
      <c r="J660">
        <v>500</v>
      </c>
      <c r="K660" t="s">
        <v>2279</v>
      </c>
      <c r="L660" t="s">
        <v>2279</v>
      </c>
      <c r="M660" t="s">
        <v>2279</v>
      </c>
      <c r="N660" t="s">
        <v>2279</v>
      </c>
      <c r="O660" s="190" t="str">
        <f t="shared" si="10"/>
        <v>[S10_InstallationsInfringementPenalties][7][MinFine]</v>
      </c>
    </row>
    <row r="661" spans="1:15" x14ac:dyDescent="0.3">
      <c r="A661" t="s">
        <v>2277</v>
      </c>
      <c r="B661" t="s">
        <v>2151</v>
      </c>
      <c r="C661" t="s">
        <v>2152</v>
      </c>
      <c r="D661">
        <v>8</v>
      </c>
      <c r="E661" t="s">
        <v>1447</v>
      </c>
      <c r="F661" t="s">
        <v>2111</v>
      </c>
      <c r="G661" t="s">
        <v>1806</v>
      </c>
      <c r="H661" t="s">
        <v>2279</v>
      </c>
      <c r="I661" t="s">
        <v>2279</v>
      </c>
      <c r="J661">
        <v>0</v>
      </c>
      <c r="K661" t="s">
        <v>2279</v>
      </c>
      <c r="L661" t="s">
        <v>2279</v>
      </c>
      <c r="M661" t="s">
        <v>2279</v>
      </c>
      <c r="N661" t="s">
        <v>2279</v>
      </c>
      <c r="O661" s="190" t="str">
        <f t="shared" si="10"/>
        <v>[S10_InstallationsInfringementPenalties][8][MinFine]</v>
      </c>
    </row>
    <row r="662" spans="1:15" x14ac:dyDescent="0.3">
      <c r="A662" t="s">
        <v>2277</v>
      </c>
      <c r="B662" t="s">
        <v>2151</v>
      </c>
      <c r="C662" t="s">
        <v>2152</v>
      </c>
      <c r="D662">
        <v>9</v>
      </c>
      <c r="E662" t="s">
        <v>1447</v>
      </c>
      <c r="F662" t="s">
        <v>2111</v>
      </c>
      <c r="G662" t="s">
        <v>1806</v>
      </c>
      <c r="H662" t="s">
        <v>2279</v>
      </c>
      <c r="I662" t="s">
        <v>2279</v>
      </c>
      <c r="J662">
        <v>0</v>
      </c>
      <c r="K662" t="s">
        <v>2279</v>
      </c>
      <c r="L662" t="s">
        <v>2279</v>
      </c>
      <c r="M662" t="s">
        <v>2279</v>
      </c>
      <c r="N662" t="s">
        <v>2279</v>
      </c>
      <c r="O662" s="190" t="str">
        <f t="shared" si="10"/>
        <v>[S10_InstallationsInfringementPenalties][9][MinFine]</v>
      </c>
    </row>
    <row r="663" spans="1:15" x14ac:dyDescent="0.3">
      <c r="A663" t="s">
        <v>2277</v>
      </c>
      <c r="B663" t="s">
        <v>2151</v>
      </c>
      <c r="C663" t="s">
        <v>2152</v>
      </c>
      <c r="D663">
        <v>10</v>
      </c>
      <c r="E663" t="s">
        <v>1447</v>
      </c>
      <c r="F663" t="s">
        <v>2111</v>
      </c>
      <c r="G663" t="s">
        <v>1806</v>
      </c>
      <c r="H663" t="s">
        <v>2279</v>
      </c>
      <c r="I663" t="s">
        <v>2279</v>
      </c>
      <c r="J663">
        <v>0</v>
      </c>
      <c r="K663" t="s">
        <v>2279</v>
      </c>
      <c r="L663" t="s">
        <v>2279</v>
      </c>
      <c r="M663" t="s">
        <v>2279</v>
      </c>
      <c r="N663" t="s">
        <v>2279</v>
      </c>
      <c r="O663" s="190" t="str">
        <f t="shared" si="10"/>
        <v>[S10_InstallationsInfringementPenalties][10][MinFine]</v>
      </c>
    </row>
    <row r="664" spans="1:15" x14ac:dyDescent="0.3">
      <c r="A664" t="s">
        <v>2277</v>
      </c>
      <c r="B664" t="s">
        <v>2151</v>
      </c>
      <c r="C664" t="s">
        <v>2152</v>
      </c>
      <c r="D664">
        <v>11</v>
      </c>
      <c r="E664" t="s">
        <v>1447</v>
      </c>
      <c r="F664" t="s">
        <v>2111</v>
      </c>
      <c r="G664" t="s">
        <v>1806</v>
      </c>
      <c r="H664" t="s">
        <v>2279</v>
      </c>
      <c r="I664" t="s">
        <v>2279</v>
      </c>
      <c r="J664">
        <v>0</v>
      </c>
      <c r="K664" t="s">
        <v>2279</v>
      </c>
      <c r="L664" t="s">
        <v>2279</v>
      </c>
      <c r="M664" t="s">
        <v>2279</v>
      </c>
      <c r="N664" t="s">
        <v>2279</v>
      </c>
      <c r="O664" s="190" t="str">
        <f t="shared" si="10"/>
        <v>[S10_InstallationsInfringementPenalties][11][MinFine]</v>
      </c>
    </row>
    <row r="665" spans="1:15" x14ac:dyDescent="0.3">
      <c r="A665" t="s">
        <v>2277</v>
      </c>
      <c r="B665" t="s">
        <v>2151</v>
      </c>
      <c r="C665" t="s">
        <v>2152</v>
      </c>
      <c r="D665">
        <v>1</v>
      </c>
      <c r="E665" t="s">
        <v>1447</v>
      </c>
      <c r="F665" t="s">
        <v>2112</v>
      </c>
      <c r="G665" t="s">
        <v>1806</v>
      </c>
      <c r="H665" t="s">
        <v>2279</v>
      </c>
      <c r="I665" t="s">
        <v>2279</v>
      </c>
      <c r="J665">
        <v>25000</v>
      </c>
      <c r="K665" t="s">
        <v>2279</v>
      </c>
      <c r="L665" t="s">
        <v>2279</v>
      </c>
      <c r="M665" t="s">
        <v>2279</v>
      </c>
      <c r="N665" t="s">
        <v>2279</v>
      </c>
      <c r="O665" s="190" t="str">
        <f t="shared" si="10"/>
        <v>[S10_InstallationsInfringementPenalties][1][MaxFine]</v>
      </c>
    </row>
    <row r="666" spans="1:15" x14ac:dyDescent="0.3">
      <c r="A666" t="s">
        <v>2277</v>
      </c>
      <c r="B666" t="s">
        <v>2151</v>
      </c>
      <c r="C666" t="s">
        <v>2152</v>
      </c>
      <c r="D666">
        <v>2</v>
      </c>
      <c r="E666" t="s">
        <v>1447</v>
      </c>
      <c r="F666" t="s">
        <v>2112</v>
      </c>
      <c r="G666" t="s">
        <v>1806</v>
      </c>
      <c r="H666" t="s">
        <v>2279</v>
      </c>
      <c r="I666" t="s">
        <v>2279</v>
      </c>
      <c r="J666">
        <v>5000</v>
      </c>
      <c r="K666" t="s">
        <v>2279</v>
      </c>
      <c r="L666" t="s">
        <v>2279</v>
      </c>
      <c r="M666" t="s">
        <v>2279</v>
      </c>
      <c r="N666" t="s">
        <v>2279</v>
      </c>
      <c r="O666" s="190" t="str">
        <f t="shared" si="10"/>
        <v>[S10_InstallationsInfringementPenalties][2][MaxFine]</v>
      </c>
    </row>
    <row r="667" spans="1:15" x14ac:dyDescent="0.3">
      <c r="A667" t="s">
        <v>2277</v>
      </c>
      <c r="B667" t="s">
        <v>2151</v>
      </c>
      <c r="C667" t="s">
        <v>2152</v>
      </c>
      <c r="D667">
        <v>3</v>
      </c>
      <c r="E667" t="s">
        <v>1447</v>
      </c>
      <c r="F667" t="s">
        <v>2112</v>
      </c>
      <c r="G667" t="s">
        <v>1806</v>
      </c>
      <c r="H667" t="s">
        <v>2279</v>
      </c>
      <c r="I667" t="s">
        <v>2279</v>
      </c>
      <c r="J667">
        <v>25000</v>
      </c>
      <c r="K667" t="s">
        <v>2279</v>
      </c>
      <c r="L667" t="s">
        <v>2279</v>
      </c>
      <c r="M667" t="s">
        <v>2279</v>
      </c>
      <c r="N667" t="s">
        <v>2279</v>
      </c>
      <c r="O667" s="190" t="str">
        <f t="shared" si="10"/>
        <v>[S10_InstallationsInfringementPenalties][3][MaxFine]</v>
      </c>
    </row>
    <row r="668" spans="1:15" x14ac:dyDescent="0.3">
      <c r="A668" t="s">
        <v>2277</v>
      </c>
      <c r="B668" t="s">
        <v>2151</v>
      </c>
      <c r="C668" t="s">
        <v>2152</v>
      </c>
      <c r="D668">
        <v>4</v>
      </c>
      <c r="E668" t="s">
        <v>1447</v>
      </c>
      <c r="F668" t="s">
        <v>2112</v>
      </c>
      <c r="G668" t="s">
        <v>1806</v>
      </c>
      <c r="H668" t="s">
        <v>2279</v>
      </c>
      <c r="I668" t="s">
        <v>2279</v>
      </c>
      <c r="J668">
        <v>0</v>
      </c>
      <c r="K668" t="s">
        <v>2279</v>
      </c>
      <c r="L668" t="s">
        <v>2279</v>
      </c>
      <c r="M668" t="s">
        <v>2279</v>
      </c>
      <c r="N668" t="s">
        <v>2279</v>
      </c>
      <c r="O668" s="190" t="str">
        <f t="shared" si="10"/>
        <v>[S10_InstallationsInfringementPenalties][4][MaxFine]</v>
      </c>
    </row>
    <row r="669" spans="1:15" x14ac:dyDescent="0.3">
      <c r="A669" t="s">
        <v>2277</v>
      </c>
      <c r="B669" t="s">
        <v>2151</v>
      </c>
      <c r="C669" t="s">
        <v>2152</v>
      </c>
      <c r="D669">
        <v>5</v>
      </c>
      <c r="E669" t="s">
        <v>1447</v>
      </c>
      <c r="F669" t="s">
        <v>2112</v>
      </c>
      <c r="G669" t="s">
        <v>1806</v>
      </c>
      <c r="H669" t="s">
        <v>2279</v>
      </c>
      <c r="I669" t="s">
        <v>2279</v>
      </c>
      <c r="J669">
        <v>0</v>
      </c>
      <c r="K669" t="s">
        <v>2279</v>
      </c>
      <c r="L669" t="s">
        <v>2279</v>
      </c>
      <c r="M669" t="s">
        <v>2279</v>
      </c>
      <c r="N669" t="s">
        <v>2279</v>
      </c>
      <c r="O669" s="190" t="str">
        <f t="shared" si="10"/>
        <v>[S10_InstallationsInfringementPenalties][5][MaxFine]</v>
      </c>
    </row>
    <row r="670" spans="1:15" x14ac:dyDescent="0.3">
      <c r="A670" t="s">
        <v>2277</v>
      </c>
      <c r="B670" t="s">
        <v>2151</v>
      </c>
      <c r="C670" t="s">
        <v>2152</v>
      </c>
      <c r="D670">
        <v>6</v>
      </c>
      <c r="E670" t="s">
        <v>1447</v>
      </c>
      <c r="F670" t="s">
        <v>2112</v>
      </c>
      <c r="G670" t="s">
        <v>1806</v>
      </c>
      <c r="H670" t="s">
        <v>2279</v>
      </c>
      <c r="I670" t="s">
        <v>2279</v>
      </c>
      <c r="J670">
        <v>5000</v>
      </c>
      <c r="K670" t="s">
        <v>2279</v>
      </c>
      <c r="L670" t="s">
        <v>2279</v>
      </c>
      <c r="M670" t="s">
        <v>2279</v>
      </c>
      <c r="N670" t="s">
        <v>2279</v>
      </c>
      <c r="O670" s="190" t="str">
        <f t="shared" si="10"/>
        <v>[S10_InstallationsInfringementPenalties][6][MaxFine]</v>
      </c>
    </row>
    <row r="671" spans="1:15" x14ac:dyDescent="0.3">
      <c r="A671" t="s">
        <v>2277</v>
      </c>
      <c r="B671" t="s">
        <v>2151</v>
      </c>
      <c r="C671" t="s">
        <v>2152</v>
      </c>
      <c r="D671">
        <v>7</v>
      </c>
      <c r="E671" t="s">
        <v>1447</v>
      </c>
      <c r="F671" t="s">
        <v>2112</v>
      </c>
      <c r="G671" t="s">
        <v>1806</v>
      </c>
      <c r="H671" t="s">
        <v>2279</v>
      </c>
      <c r="I671" t="s">
        <v>2279</v>
      </c>
      <c r="J671">
        <v>5000</v>
      </c>
      <c r="K671" t="s">
        <v>2279</v>
      </c>
      <c r="L671" t="s">
        <v>2279</v>
      </c>
      <c r="M671" t="s">
        <v>2279</v>
      </c>
      <c r="N671" t="s">
        <v>2279</v>
      </c>
      <c r="O671" s="190" t="str">
        <f t="shared" si="10"/>
        <v>[S10_InstallationsInfringementPenalties][7][MaxFine]</v>
      </c>
    </row>
    <row r="672" spans="1:15" x14ac:dyDescent="0.3">
      <c r="A672" t="s">
        <v>2277</v>
      </c>
      <c r="B672" t="s">
        <v>2151</v>
      </c>
      <c r="C672" t="s">
        <v>2152</v>
      </c>
      <c r="D672">
        <v>8</v>
      </c>
      <c r="E672" t="s">
        <v>1447</v>
      </c>
      <c r="F672" t="s">
        <v>2112</v>
      </c>
      <c r="G672" t="s">
        <v>1806</v>
      </c>
      <c r="H672" t="s">
        <v>2279</v>
      </c>
      <c r="I672" t="s">
        <v>2279</v>
      </c>
      <c r="J672">
        <v>0</v>
      </c>
      <c r="K672" t="s">
        <v>2279</v>
      </c>
      <c r="L672" t="s">
        <v>2279</v>
      </c>
      <c r="M672" t="s">
        <v>2279</v>
      </c>
      <c r="N672" t="s">
        <v>2279</v>
      </c>
      <c r="O672" s="190" t="str">
        <f t="shared" si="10"/>
        <v>[S10_InstallationsInfringementPenalties][8][MaxFine]</v>
      </c>
    </row>
    <row r="673" spans="1:15" x14ac:dyDescent="0.3">
      <c r="A673" t="s">
        <v>2277</v>
      </c>
      <c r="B673" t="s">
        <v>2151</v>
      </c>
      <c r="C673" t="s">
        <v>2152</v>
      </c>
      <c r="D673">
        <v>9</v>
      </c>
      <c r="E673" t="s">
        <v>1447</v>
      </c>
      <c r="F673" t="s">
        <v>2112</v>
      </c>
      <c r="G673" t="s">
        <v>1806</v>
      </c>
      <c r="H673" t="s">
        <v>2279</v>
      </c>
      <c r="I673" t="s">
        <v>2279</v>
      </c>
      <c r="J673">
        <v>0</v>
      </c>
      <c r="K673" t="s">
        <v>2279</v>
      </c>
      <c r="L673" t="s">
        <v>2279</v>
      </c>
      <c r="M673" t="s">
        <v>2279</v>
      </c>
      <c r="N673" t="s">
        <v>2279</v>
      </c>
      <c r="O673" s="190" t="str">
        <f t="shared" si="10"/>
        <v>[S10_InstallationsInfringementPenalties][9][MaxFine]</v>
      </c>
    </row>
    <row r="674" spans="1:15" x14ac:dyDescent="0.3">
      <c r="A674" t="s">
        <v>2277</v>
      </c>
      <c r="B674" t="s">
        <v>2151</v>
      </c>
      <c r="C674" t="s">
        <v>2152</v>
      </c>
      <c r="D674">
        <v>10</v>
      </c>
      <c r="E674" t="s">
        <v>1447</v>
      </c>
      <c r="F674" t="s">
        <v>2112</v>
      </c>
      <c r="G674" t="s">
        <v>1806</v>
      </c>
      <c r="H674" t="s">
        <v>2279</v>
      </c>
      <c r="I674" t="s">
        <v>2279</v>
      </c>
      <c r="J674">
        <v>0</v>
      </c>
      <c r="K674" t="s">
        <v>2279</v>
      </c>
      <c r="L674" t="s">
        <v>2279</v>
      </c>
      <c r="M674" t="s">
        <v>2279</v>
      </c>
      <c r="N674" t="s">
        <v>2279</v>
      </c>
      <c r="O674" s="190" t="str">
        <f t="shared" si="10"/>
        <v>[S10_InstallationsInfringementPenalties][10][MaxFine]</v>
      </c>
    </row>
    <row r="675" spans="1:15" x14ac:dyDescent="0.3">
      <c r="A675" t="s">
        <v>2277</v>
      </c>
      <c r="B675" t="s">
        <v>2151</v>
      </c>
      <c r="C675" t="s">
        <v>2152</v>
      </c>
      <c r="D675">
        <v>11</v>
      </c>
      <c r="E675" t="s">
        <v>1447</v>
      </c>
      <c r="F675" t="s">
        <v>2112</v>
      </c>
      <c r="G675" t="s">
        <v>1806</v>
      </c>
      <c r="H675" t="s">
        <v>2279</v>
      </c>
      <c r="I675" t="s">
        <v>2279</v>
      </c>
      <c r="J675">
        <v>0</v>
      </c>
      <c r="K675" t="s">
        <v>2279</v>
      </c>
      <c r="L675" t="s">
        <v>2279</v>
      </c>
      <c r="M675" t="s">
        <v>2279</v>
      </c>
      <c r="N675" t="s">
        <v>2279</v>
      </c>
      <c r="O675" s="190" t="str">
        <f t="shared" si="10"/>
        <v>[S10_InstallationsInfringementPenalties][11][MaxFine]</v>
      </c>
    </row>
    <row r="676" spans="1:15" x14ac:dyDescent="0.3">
      <c r="A676" t="s">
        <v>2277</v>
      </c>
      <c r="B676" t="s">
        <v>2151</v>
      </c>
      <c r="C676" t="s">
        <v>2152</v>
      </c>
      <c r="D676">
        <v>3</v>
      </c>
      <c r="E676" t="s">
        <v>1447</v>
      </c>
      <c r="F676" t="s">
        <v>2115</v>
      </c>
      <c r="G676" t="s">
        <v>1791</v>
      </c>
      <c r="H676" t="s">
        <v>2279</v>
      </c>
      <c r="I676" t="s">
        <v>2279</v>
      </c>
      <c r="J676" t="s">
        <v>2279</v>
      </c>
      <c r="K676" t="s">
        <v>2347</v>
      </c>
      <c r="L676" t="s">
        <v>2279</v>
      </c>
      <c r="M676" t="s">
        <v>2279</v>
      </c>
      <c r="N676" t="s">
        <v>2279</v>
      </c>
      <c r="O676" s="190" t="str">
        <f t="shared" si="10"/>
        <v>[S10_InstallationsInfringementPenalties][3][OtherPenalty]</v>
      </c>
    </row>
    <row r="677" spans="1:15" x14ac:dyDescent="0.3">
      <c r="A677" t="s">
        <v>2277</v>
      </c>
      <c r="B677" t="s">
        <v>2151</v>
      </c>
      <c r="C677" t="s">
        <v>2152</v>
      </c>
      <c r="D677">
        <v>4</v>
      </c>
      <c r="E677" t="s">
        <v>1447</v>
      </c>
      <c r="F677" t="s">
        <v>2115</v>
      </c>
      <c r="G677" t="s">
        <v>1791</v>
      </c>
      <c r="H677" t="s">
        <v>2279</v>
      </c>
      <c r="I677" t="s">
        <v>2279</v>
      </c>
      <c r="J677" t="s">
        <v>2279</v>
      </c>
      <c r="K677" t="s">
        <v>2348</v>
      </c>
      <c r="L677" t="s">
        <v>2279</v>
      </c>
      <c r="M677" t="s">
        <v>2279</v>
      </c>
      <c r="N677" t="s">
        <v>2279</v>
      </c>
      <c r="O677" s="190" t="str">
        <f t="shared" si="10"/>
        <v>[S10_InstallationsInfringementPenalties][4][OtherPenalty]</v>
      </c>
    </row>
    <row r="678" spans="1:15" x14ac:dyDescent="0.3">
      <c r="A678" t="s">
        <v>2277</v>
      </c>
      <c r="B678" t="s">
        <v>2151</v>
      </c>
      <c r="C678" t="s">
        <v>2152</v>
      </c>
      <c r="D678">
        <v>5</v>
      </c>
      <c r="E678" t="s">
        <v>1447</v>
      </c>
      <c r="F678" t="s">
        <v>2115</v>
      </c>
      <c r="G678" t="s">
        <v>1791</v>
      </c>
      <c r="H678" t="s">
        <v>2279</v>
      </c>
      <c r="I678" t="s">
        <v>2279</v>
      </c>
      <c r="J678" t="s">
        <v>2279</v>
      </c>
      <c r="K678" t="s">
        <v>2348</v>
      </c>
      <c r="L678" t="s">
        <v>2279</v>
      </c>
      <c r="M678" t="s">
        <v>2279</v>
      </c>
      <c r="N678" t="s">
        <v>2279</v>
      </c>
      <c r="O678" s="190" t="str">
        <f t="shared" si="10"/>
        <v>[S10_InstallationsInfringementPenalties][5][OtherPenalty]</v>
      </c>
    </row>
    <row r="679" spans="1:15" x14ac:dyDescent="0.3">
      <c r="A679" t="s">
        <v>2277</v>
      </c>
      <c r="B679" t="s">
        <v>2151</v>
      </c>
      <c r="C679" t="s">
        <v>2152</v>
      </c>
      <c r="D679">
        <v>6</v>
      </c>
      <c r="E679" t="s">
        <v>1447</v>
      </c>
      <c r="F679" t="s">
        <v>2115</v>
      </c>
      <c r="G679" t="s">
        <v>1791</v>
      </c>
      <c r="H679" t="s">
        <v>2279</v>
      </c>
      <c r="I679" t="s">
        <v>2279</v>
      </c>
      <c r="J679" t="s">
        <v>2279</v>
      </c>
      <c r="K679" t="s">
        <v>2349</v>
      </c>
      <c r="L679" t="s">
        <v>2279</v>
      </c>
      <c r="M679" t="s">
        <v>2279</v>
      </c>
      <c r="N679" t="s">
        <v>2279</v>
      </c>
      <c r="O679" s="190" t="str">
        <f t="shared" si="10"/>
        <v>[S10_InstallationsInfringementPenalties][6][OtherPenalty]</v>
      </c>
    </row>
    <row r="680" spans="1:15" x14ac:dyDescent="0.3">
      <c r="A680" t="s">
        <v>2277</v>
      </c>
      <c r="B680" t="s">
        <v>2151</v>
      </c>
      <c r="C680" t="s">
        <v>2152</v>
      </c>
      <c r="D680">
        <v>7</v>
      </c>
      <c r="E680" t="s">
        <v>1447</v>
      </c>
      <c r="F680" t="s">
        <v>2115</v>
      </c>
      <c r="G680" t="s">
        <v>1791</v>
      </c>
      <c r="H680" t="s">
        <v>2279</v>
      </c>
      <c r="I680" t="s">
        <v>2279</v>
      </c>
      <c r="J680" t="s">
        <v>2279</v>
      </c>
      <c r="K680" t="s">
        <v>2349</v>
      </c>
      <c r="L680" t="s">
        <v>2279</v>
      </c>
      <c r="M680" t="s">
        <v>2279</v>
      </c>
      <c r="N680" t="s">
        <v>2279</v>
      </c>
      <c r="O680" s="190" t="str">
        <f t="shared" si="10"/>
        <v>[S10_InstallationsInfringementPenalties][7][OtherPenalty]</v>
      </c>
    </row>
    <row r="681" spans="1:15" x14ac:dyDescent="0.3">
      <c r="A681" t="s">
        <v>2277</v>
      </c>
      <c r="B681" t="s">
        <v>2151</v>
      </c>
      <c r="C681" t="s">
        <v>2152</v>
      </c>
      <c r="D681">
        <v>11</v>
      </c>
      <c r="E681" t="s">
        <v>1447</v>
      </c>
      <c r="F681" t="s">
        <v>2115</v>
      </c>
      <c r="G681" t="s">
        <v>1791</v>
      </c>
      <c r="H681" t="s">
        <v>2279</v>
      </c>
      <c r="I681" t="s">
        <v>2279</v>
      </c>
      <c r="J681" t="s">
        <v>2279</v>
      </c>
      <c r="K681" t="s">
        <v>2350</v>
      </c>
      <c r="L681" t="s">
        <v>2279</v>
      </c>
      <c r="M681" t="s">
        <v>2279</v>
      </c>
      <c r="N681" t="s">
        <v>2279</v>
      </c>
      <c r="O681" s="190" t="str">
        <f t="shared" si="10"/>
        <v>[S10_InstallationsInfringementPenalties][11][OtherPenalty]</v>
      </c>
    </row>
    <row r="682" spans="1:15" x14ac:dyDescent="0.3">
      <c r="A682" t="s">
        <v>2277</v>
      </c>
      <c r="B682" t="s">
        <v>2154</v>
      </c>
      <c r="C682" t="s">
        <v>2156</v>
      </c>
      <c r="D682">
        <v>0</v>
      </c>
      <c r="E682" t="s">
        <v>1447</v>
      </c>
      <c r="F682" t="s">
        <v>2156</v>
      </c>
      <c r="G682" t="s">
        <v>1759</v>
      </c>
      <c r="H682" t="s">
        <v>2279</v>
      </c>
      <c r="I682" t="s">
        <v>2279</v>
      </c>
      <c r="J682" t="s">
        <v>2279</v>
      </c>
      <c r="K682" t="s">
        <v>2279</v>
      </c>
      <c r="L682" t="s">
        <v>1447</v>
      </c>
      <c r="M682" t="s">
        <v>2279</v>
      </c>
      <c r="N682" t="s">
        <v>2279</v>
      </c>
      <c r="O682" s="190" t="str">
        <f t="shared" si="10"/>
        <v>[InstallationsPriorPenaltiesEnforced][0][InstallationsPriorPenaltiesEnforced]</v>
      </c>
    </row>
    <row r="683" spans="1:15" x14ac:dyDescent="0.3">
      <c r="A683" t="s">
        <v>2277</v>
      </c>
      <c r="B683" t="s">
        <v>2160</v>
      </c>
      <c r="C683" t="s">
        <v>2161</v>
      </c>
      <c r="D683">
        <v>1</v>
      </c>
      <c r="E683" t="s">
        <v>1447</v>
      </c>
      <c r="F683" t="s">
        <v>2148</v>
      </c>
      <c r="G683" t="s">
        <v>1759</v>
      </c>
      <c r="H683" t="s">
        <v>2279</v>
      </c>
      <c r="I683" t="s">
        <v>2279</v>
      </c>
      <c r="J683" t="s">
        <v>2279</v>
      </c>
      <c r="K683" t="s">
        <v>2279</v>
      </c>
      <c r="L683" t="s">
        <v>1447</v>
      </c>
      <c r="M683" t="s">
        <v>2279</v>
      </c>
      <c r="N683" t="s">
        <v>2279</v>
      </c>
      <c r="O683" s="190" t="str">
        <f t="shared" si="10"/>
        <v>[S10_AircraftComplianceMeasures][1][ComplianceMeasuresYesNo]</v>
      </c>
    </row>
    <row r="684" spans="1:15" x14ac:dyDescent="0.3">
      <c r="A684" t="s">
        <v>2277</v>
      </c>
      <c r="B684" t="s">
        <v>2160</v>
      </c>
      <c r="C684" t="s">
        <v>2161</v>
      </c>
      <c r="D684">
        <v>2</v>
      </c>
      <c r="E684" t="s">
        <v>1447</v>
      </c>
      <c r="F684" t="s">
        <v>2148</v>
      </c>
      <c r="G684" t="s">
        <v>1759</v>
      </c>
      <c r="H684" t="s">
        <v>2279</v>
      </c>
      <c r="I684" t="s">
        <v>2279</v>
      </c>
      <c r="J684" t="s">
        <v>2279</v>
      </c>
      <c r="K684" t="s">
        <v>2279</v>
      </c>
      <c r="L684" t="s">
        <v>1447</v>
      </c>
      <c r="M684" t="s">
        <v>2279</v>
      </c>
      <c r="N684" t="s">
        <v>2279</v>
      </c>
      <c r="O684" s="190" t="str">
        <f t="shared" si="10"/>
        <v>[S10_AircraftComplianceMeasures][2][ComplianceMeasuresYesNo]</v>
      </c>
    </row>
    <row r="685" spans="1:15" x14ac:dyDescent="0.3">
      <c r="A685" t="s">
        <v>2277</v>
      </c>
      <c r="B685" t="s">
        <v>2160</v>
      </c>
      <c r="C685" t="s">
        <v>2161</v>
      </c>
      <c r="D685">
        <v>3</v>
      </c>
      <c r="E685" t="s">
        <v>1447</v>
      </c>
      <c r="F685" t="s">
        <v>2148</v>
      </c>
      <c r="G685" t="s">
        <v>1759</v>
      </c>
      <c r="H685" t="s">
        <v>2279</v>
      </c>
      <c r="I685" t="s">
        <v>2279</v>
      </c>
      <c r="J685" t="s">
        <v>2279</v>
      </c>
      <c r="K685" t="s">
        <v>2279</v>
      </c>
      <c r="L685" t="s">
        <v>1447</v>
      </c>
      <c r="M685" t="s">
        <v>2279</v>
      </c>
      <c r="N685" t="s">
        <v>2279</v>
      </c>
      <c r="O685" s="190" t="str">
        <f t="shared" si="10"/>
        <v>[S10_AircraftComplianceMeasures][3][ComplianceMeasuresYesNo]</v>
      </c>
    </row>
    <row r="686" spans="1:15" x14ac:dyDescent="0.3">
      <c r="A686" t="s">
        <v>2277</v>
      </c>
      <c r="B686" t="s">
        <v>2160</v>
      </c>
      <c r="C686" t="s">
        <v>2161</v>
      </c>
      <c r="D686">
        <v>4</v>
      </c>
      <c r="E686" t="s">
        <v>1447</v>
      </c>
      <c r="F686" t="s">
        <v>2148</v>
      </c>
      <c r="G686" t="s">
        <v>1759</v>
      </c>
      <c r="H686" t="s">
        <v>2279</v>
      </c>
      <c r="I686" t="s">
        <v>2279</v>
      </c>
      <c r="J686" t="s">
        <v>2279</v>
      </c>
      <c r="K686" t="s">
        <v>2279</v>
      </c>
      <c r="L686" t="s">
        <v>1447</v>
      </c>
      <c r="M686" t="s">
        <v>2279</v>
      </c>
      <c r="N686" t="s">
        <v>2279</v>
      </c>
      <c r="O686" s="190" t="str">
        <f t="shared" si="10"/>
        <v>[S10_AircraftComplianceMeasures][4][ComplianceMeasuresYesNo]</v>
      </c>
    </row>
    <row r="687" spans="1:15" x14ac:dyDescent="0.3">
      <c r="A687" t="s">
        <v>2277</v>
      </c>
      <c r="B687" t="s">
        <v>2162</v>
      </c>
      <c r="C687" t="s">
        <v>2163</v>
      </c>
      <c r="D687">
        <v>1</v>
      </c>
      <c r="E687" t="s">
        <v>1447</v>
      </c>
      <c r="F687" t="s">
        <v>2111</v>
      </c>
      <c r="G687" t="s">
        <v>1806</v>
      </c>
      <c r="H687" t="s">
        <v>2279</v>
      </c>
      <c r="I687" t="s">
        <v>2279</v>
      </c>
      <c r="J687">
        <v>0</v>
      </c>
      <c r="K687" t="s">
        <v>2279</v>
      </c>
      <c r="L687" t="s">
        <v>2279</v>
      </c>
      <c r="M687" t="s">
        <v>2279</v>
      </c>
      <c r="N687" t="s">
        <v>2279</v>
      </c>
      <c r="O687" s="190" t="str">
        <f t="shared" si="10"/>
        <v>[S10_AircraftInfringementPenalties][1][MinFine]</v>
      </c>
    </row>
    <row r="688" spans="1:15" x14ac:dyDescent="0.3">
      <c r="A688" t="s">
        <v>2277</v>
      </c>
      <c r="B688" t="s">
        <v>2162</v>
      </c>
      <c r="C688" t="s">
        <v>2163</v>
      </c>
      <c r="D688">
        <v>2</v>
      </c>
      <c r="E688" t="s">
        <v>1447</v>
      </c>
      <c r="F688" t="s">
        <v>2111</v>
      </c>
      <c r="G688" t="s">
        <v>1806</v>
      </c>
      <c r="H688" t="s">
        <v>2279</v>
      </c>
      <c r="I688" t="s">
        <v>2279</v>
      </c>
      <c r="J688">
        <v>500</v>
      </c>
      <c r="K688" t="s">
        <v>2279</v>
      </c>
      <c r="L688" t="s">
        <v>2279</v>
      </c>
      <c r="M688" t="s">
        <v>2279</v>
      </c>
      <c r="N688" t="s">
        <v>2279</v>
      </c>
      <c r="O688" s="190" t="str">
        <f t="shared" si="10"/>
        <v>[S10_AircraftInfringementPenalties][2][MinFine]</v>
      </c>
    </row>
    <row r="689" spans="1:15" x14ac:dyDescent="0.3">
      <c r="A689" t="s">
        <v>2277</v>
      </c>
      <c r="B689" t="s">
        <v>2162</v>
      </c>
      <c r="C689" t="s">
        <v>2163</v>
      </c>
      <c r="D689">
        <v>3</v>
      </c>
      <c r="E689" t="s">
        <v>1447</v>
      </c>
      <c r="F689" t="s">
        <v>2111</v>
      </c>
      <c r="G689" t="s">
        <v>1806</v>
      </c>
      <c r="H689" t="s">
        <v>2279</v>
      </c>
      <c r="I689" t="s">
        <v>2279</v>
      </c>
      <c r="J689">
        <v>500</v>
      </c>
      <c r="K689" t="s">
        <v>2279</v>
      </c>
      <c r="L689" t="s">
        <v>2279</v>
      </c>
      <c r="M689" t="s">
        <v>2279</v>
      </c>
      <c r="N689" t="s">
        <v>2279</v>
      </c>
      <c r="O689" s="190" t="str">
        <f t="shared" si="10"/>
        <v>[S10_AircraftInfringementPenalties][3][MinFine]</v>
      </c>
    </row>
    <row r="690" spans="1:15" x14ac:dyDescent="0.3">
      <c r="A690" t="s">
        <v>2277</v>
      </c>
      <c r="B690" t="s">
        <v>2162</v>
      </c>
      <c r="C690" t="s">
        <v>2163</v>
      </c>
      <c r="D690">
        <v>4</v>
      </c>
      <c r="E690" t="s">
        <v>1447</v>
      </c>
      <c r="F690" t="s">
        <v>2111</v>
      </c>
      <c r="G690" t="s">
        <v>1806</v>
      </c>
      <c r="H690" t="s">
        <v>2279</v>
      </c>
      <c r="I690" t="s">
        <v>2279</v>
      </c>
      <c r="J690">
        <v>500</v>
      </c>
      <c r="K690" t="s">
        <v>2279</v>
      </c>
      <c r="L690" t="s">
        <v>2279</v>
      </c>
      <c r="M690" t="s">
        <v>2279</v>
      </c>
      <c r="N690" t="s">
        <v>2279</v>
      </c>
      <c r="O690" s="190" t="str">
        <f t="shared" si="10"/>
        <v>[S10_AircraftInfringementPenalties][4][MinFine]</v>
      </c>
    </row>
    <row r="691" spans="1:15" x14ac:dyDescent="0.3">
      <c r="A691" t="s">
        <v>2277</v>
      </c>
      <c r="B691" t="s">
        <v>2162</v>
      </c>
      <c r="C691" t="s">
        <v>2163</v>
      </c>
      <c r="D691">
        <v>5</v>
      </c>
      <c r="E691" t="s">
        <v>1447</v>
      </c>
      <c r="F691" t="s">
        <v>2111</v>
      </c>
      <c r="G691" t="s">
        <v>1806</v>
      </c>
      <c r="H691" t="s">
        <v>2279</v>
      </c>
      <c r="I691" t="s">
        <v>2279</v>
      </c>
      <c r="J691">
        <v>500</v>
      </c>
      <c r="K691" t="s">
        <v>2279</v>
      </c>
      <c r="L691" t="s">
        <v>2279</v>
      </c>
      <c r="M691" t="s">
        <v>2279</v>
      </c>
      <c r="N691" t="s">
        <v>2279</v>
      </c>
      <c r="O691" s="190" t="str">
        <f t="shared" si="10"/>
        <v>[S10_AircraftInfringementPenalties][5][MinFine]</v>
      </c>
    </row>
    <row r="692" spans="1:15" x14ac:dyDescent="0.3">
      <c r="A692" t="s">
        <v>2277</v>
      </c>
      <c r="B692" t="s">
        <v>2162</v>
      </c>
      <c r="C692" t="s">
        <v>2163</v>
      </c>
      <c r="D692">
        <v>6</v>
      </c>
      <c r="E692" t="s">
        <v>1447</v>
      </c>
      <c r="F692" t="s">
        <v>2111</v>
      </c>
      <c r="G692" t="s">
        <v>1806</v>
      </c>
      <c r="H692" t="s">
        <v>2279</v>
      </c>
      <c r="I692" t="s">
        <v>2279</v>
      </c>
      <c r="J692">
        <v>0</v>
      </c>
      <c r="K692" t="s">
        <v>2279</v>
      </c>
      <c r="L692" t="s">
        <v>2279</v>
      </c>
      <c r="M692" t="s">
        <v>2279</v>
      </c>
      <c r="N692" t="s">
        <v>2279</v>
      </c>
      <c r="O692" s="190" t="str">
        <f t="shared" si="10"/>
        <v>[S10_AircraftInfringementPenalties][6][MinFine]</v>
      </c>
    </row>
    <row r="693" spans="1:15" x14ac:dyDescent="0.3">
      <c r="A693" t="s">
        <v>2277</v>
      </c>
      <c r="B693" t="s">
        <v>2162</v>
      </c>
      <c r="C693" t="s">
        <v>2163</v>
      </c>
      <c r="D693">
        <v>7</v>
      </c>
      <c r="E693" t="s">
        <v>1447</v>
      </c>
      <c r="F693" t="s">
        <v>2111</v>
      </c>
      <c r="G693" t="s">
        <v>1806</v>
      </c>
      <c r="H693" t="s">
        <v>2279</v>
      </c>
      <c r="I693" t="s">
        <v>2279</v>
      </c>
      <c r="J693">
        <v>0</v>
      </c>
      <c r="K693" t="s">
        <v>2279</v>
      </c>
      <c r="L693" t="s">
        <v>2279</v>
      </c>
      <c r="M693" t="s">
        <v>2279</v>
      </c>
      <c r="N693" t="s">
        <v>2279</v>
      </c>
      <c r="O693" s="190" t="str">
        <f t="shared" si="10"/>
        <v>[S10_AircraftInfringementPenalties][7][MinFine]</v>
      </c>
    </row>
    <row r="694" spans="1:15" x14ac:dyDescent="0.3">
      <c r="A694" t="s">
        <v>2277</v>
      </c>
      <c r="B694" t="s">
        <v>2162</v>
      </c>
      <c r="C694" t="s">
        <v>2163</v>
      </c>
      <c r="D694">
        <v>8</v>
      </c>
      <c r="E694" t="s">
        <v>1447</v>
      </c>
      <c r="F694" t="s">
        <v>2111</v>
      </c>
      <c r="G694" t="s">
        <v>1806</v>
      </c>
      <c r="H694" t="s">
        <v>2279</v>
      </c>
      <c r="I694" t="s">
        <v>2279</v>
      </c>
      <c r="J694">
        <v>0</v>
      </c>
      <c r="K694" t="s">
        <v>2279</v>
      </c>
      <c r="L694" t="s">
        <v>2279</v>
      </c>
      <c r="M694" t="s">
        <v>2279</v>
      </c>
      <c r="N694" t="s">
        <v>2279</v>
      </c>
      <c r="O694" s="190" t="str">
        <f t="shared" si="10"/>
        <v>[S10_AircraftInfringementPenalties][8][MinFine]</v>
      </c>
    </row>
    <row r="695" spans="1:15" x14ac:dyDescent="0.3">
      <c r="A695" t="s">
        <v>2277</v>
      </c>
      <c r="B695" t="s">
        <v>2162</v>
      </c>
      <c r="C695" t="s">
        <v>2163</v>
      </c>
      <c r="D695">
        <v>9</v>
      </c>
      <c r="E695" t="s">
        <v>1447</v>
      </c>
      <c r="F695" t="s">
        <v>2111</v>
      </c>
      <c r="G695" t="s">
        <v>1806</v>
      </c>
      <c r="H695" t="s">
        <v>2279</v>
      </c>
      <c r="I695" t="s">
        <v>2279</v>
      </c>
      <c r="J695">
        <v>0</v>
      </c>
      <c r="K695" t="s">
        <v>2279</v>
      </c>
      <c r="L695" t="s">
        <v>2279</v>
      </c>
      <c r="M695" t="s">
        <v>2279</v>
      </c>
      <c r="N695" t="s">
        <v>2279</v>
      </c>
      <c r="O695" s="190" t="str">
        <f t="shared" si="10"/>
        <v>[S10_AircraftInfringementPenalties][9][MinFine]</v>
      </c>
    </row>
    <row r="696" spans="1:15" x14ac:dyDescent="0.3">
      <c r="A696" t="s">
        <v>2277</v>
      </c>
      <c r="B696" t="s">
        <v>2162</v>
      </c>
      <c r="C696" t="s">
        <v>2163</v>
      </c>
      <c r="D696">
        <v>10</v>
      </c>
      <c r="E696" t="s">
        <v>1447</v>
      </c>
      <c r="F696" t="s">
        <v>2111</v>
      </c>
      <c r="G696" t="s">
        <v>1806</v>
      </c>
      <c r="H696" t="s">
        <v>2279</v>
      </c>
      <c r="I696" t="s">
        <v>2279</v>
      </c>
      <c r="J696">
        <v>0</v>
      </c>
      <c r="K696" t="s">
        <v>2279</v>
      </c>
      <c r="L696" t="s">
        <v>2279</v>
      </c>
      <c r="M696" t="s">
        <v>2279</v>
      </c>
      <c r="N696" t="s">
        <v>2279</v>
      </c>
      <c r="O696" s="190" t="str">
        <f t="shared" si="10"/>
        <v>[S10_AircraftInfringementPenalties][10][MinFine]</v>
      </c>
    </row>
    <row r="697" spans="1:15" x14ac:dyDescent="0.3">
      <c r="A697" t="s">
        <v>2277</v>
      </c>
      <c r="B697" t="s">
        <v>2162</v>
      </c>
      <c r="C697" t="s">
        <v>2163</v>
      </c>
      <c r="D697">
        <v>1</v>
      </c>
      <c r="E697" t="s">
        <v>1447</v>
      </c>
      <c r="F697" t="s">
        <v>2112</v>
      </c>
      <c r="G697" t="s">
        <v>1806</v>
      </c>
      <c r="H697" t="s">
        <v>2279</v>
      </c>
      <c r="I697" t="s">
        <v>2279</v>
      </c>
      <c r="J697">
        <v>0</v>
      </c>
      <c r="K697" t="s">
        <v>2279</v>
      </c>
      <c r="L697" t="s">
        <v>2279</v>
      </c>
      <c r="M697" t="s">
        <v>2279</v>
      </c>
      <c r="N697" t="s">
        <v>2279</v>
      </c>
      <c r="O697" s="190" t="str">
        <f t="shared" si="10"/>
        <v>[S10_AircraftInfringementPenalties][1][MaxFine]</v>
      </c>
    </row>
    <row r="698" spans="1:15" x14ac:dyDescent="0.3">
      <c r="A698" t="s">
        <v>2277</v>
      </c>
      <c r="B698" t="s">
        <v>2162</v>
      </c>
      <c r="C698" t="s">
        <v>2163</v>
      </c>
      <c r="D698">
        <v>2</v>
      </c>
      <c r="E698" t="s">
        <v>1447</v>
      </c>
      <c r="F698" t="s">
        <v>2112</v>
      </c>
      <c r="G698" t="s">
        <v>1806</v>
      </c>
      <c r="H698" t="s">
        <v>2279</v>
      </c>
      <c r="I698" t="s">
        <v>2279</v>
      </c>
      <c r="J698">
        <v>5000</v>
      </c>
      <c r="K698" t="s">
        <v>2279</v>
      </c>
      <c r="L698" t="s">
        <v>2279</v>
      </c>
      <c r="M698" t="s">
        <v>2279</v>
      </c>
      <c r="N698" t="s">
        <v>2279</v>
      </c>
      <c r="O698" s="190" t="str">
        <f t="shared" si="10"/>
        <v>[S10_AircraftInfringementPenalties][2][MaxFine]</v>
      </c>
    </row>
    <row r="699" spans="1:15" x14ac:dyDescent="0.3">
      <c r="A699" t="s">
        <v>2277</v>
      </c>
      <c r="B699" t="s">
        <v>2162</v>
      </c>
      <c r="C699" t="s">
        <v>2163</v>
      </c>
      <c r="D699">
        <v>3</v>
      </c>
      <c r="E699" t="s">
        <v>1447</v>
      </c>
      <c r="F699" t="s">
        <v>2112</v>
      </c>
      <c r="G699" t="s">
        <v>1806</v>
      </c>
      <c r="H699" t="s">
        <v>2279</v>
      </c>
      <c r="I699" t="s">
        <v>2279</v>
      </c>
      <c r="J699">
        <v>5000</v>
      </c>
      <c r="K699" t="s">
        <v>2279</v>
      </c>
      <c r="L699" t="s">
        <v>2279</v>
      </c>
      <c r="M699" t="s">
        <v>2279</v>
      </c>
      <c r="N699" t="s">
        <v>2279</v>
      </c>
      <c r="O699" s="190" t="str">
        <f t="shared" si="10"/>
        <v>[S10_AircraftInfringementPenalties][3][MaxFine]</v>
      </c>
    </row>
    <row r="700" spans="1:15" x14ac:dyDescent="0.3">
      <c r="A700" t="s">
        <v>2277</v>
      </c>
      <c r="B700" t="s">
        <v>2162</v>
      </c>
      <c r="C700" t="s">
        <v>2163</v>
      </c>
      <c r="D700">
        <v>4</v>
      </c>
      <c r="E700" t="s">
        <v>1447</v>
      </c>
      <c r="F700" t="s">
        <v>2112</v>
      </c>
      <c r="G700" t="s">
        <v>1806</v>
      </c>
      <c r="H700" t="s">
        <v>2279</v>
      </c>
      <c r="I700" t="s">
        <v>2279</v>
      </c>
      <c r="J700">
        <v>5000</v>
      </c>
      <c r="K700" t="s">
        <v>2279</v>
      </c>
      <c r="L700" t="s">
        <v>2279</v>
      </c>
      <c r="M700" t="s">
        <v>2279</v>
      </c>
      <c r="N700" t="s">
        <v>2279</v>
      </c>
      <c r="O700" s="190" t="str">
        <f t="shared" si="10"/>
        <v>[S10_AircraftInfringementPenalties][4][MaxFine]</v>
      </c>
    </row>
    <row r="701" spans="1:15" x14ac:dyDescent="0.3">
      <c r="A701" t="s">
        <v>2277</v>
      </c>
      <c r="B701" t="s">
        <v>2162</v>
      </c>
      <c r="C701" t="s">
        <v>2163</v>
      </c>
      <c r="D701">
        <v>5</v>
      </c>
      <c r="E701" t="s">
        <v>1447</v>
      </c>
      <c r="F701" t="s">
        <v>2112</v>
      </c>
      <c r="G701" t="s">
        <v>1806</v>
      </c>
      <c r="H701" t="s">
        <v>2279</v>
      </c>
      <c r="I701" t="s">
        <v>2279</v>
      </c>
      <c r="J701">
        <v>5000</v>
      </c>
      <c r="K701" t="s">
        <v>2279</v>
      </c>
      <c r="L701" t="s">
        <v>2279</v>
      </c>
      <c r="M701" t="s">
        <v>2279</v>
      </c>
      <c r="N701" t="s">
        <v>2279</v>
      </c>
      <c r="O701" s="190" t="str">
        <f t="shared" si="10"/>
        <v>[S10_AircraftInfringementPenalties][5][MaxFine]</v>
      </c>
    </row>
    <row r="702" spans="1:15" x14ac:dyDescent="0.3">
      <c r="A702" t="s">
        <v>2277</v>
      </c>
      <c r="B702" t="s">
        <v>2162</v>
      </c>
      <c r="C702" t="s">
        <v>2163</v>
      </c>
      <c r="D702">
        <v>6</v>
      </c>
      <c r="E702" t="s">
        <v>1447</v>
      </c>
      <c r="F702" t="s">
        <v>2112</v>
      </c>
      <c r="G702" t="s">
        <v>1806</v>
      </c>
      <c r="H702" t="s">
        <v>2279</v>
      </c>
      <c r="I702" t="s">
        <v>2279</v>
      </c>
      <c r="J702">
        <v>0</v>
      </c>
      <c r="K702" t="s">
        <v>2279</v>
      </c>
      <c r="L702" t="s">
        <v>2279</v>
      </c>
      <c r="M702" t="s">
        <v>2279</v>
      </c>
      <c r="N702" t="s">
        <v>2279</v>
      </c>
      <c r="O702" s="190" t="str">
        <f t="shared" si="10"/>
        <v>[S10_AircraftInfringementPenalties][6][MaxFine]</v>
      </c>
    </row>
    <row r="703" spans="1:15" x14ac:dyDescent="0.3">
      <c r="A703" t="s">
        <v>2277</v>
      </c>
      <c r="B703" t="s">
        <v>2162</v>
      </c>
      <c r="C703" t="s">
        <v>2163</v>
      </c>
      <c r="D703">
        <v>7</v>
      </c>
      <c r="E703" t="s">
        <v>1447</v>
      </c>
      <c r="F703" t="s">
        <v>2112</v>
      </c>
      <c r="G703" t="s">
        <v>1806</v>
      </c>
      <c r="H703" t="s">
        <v>2279</v>
      </c>
      <c r="I703" t="s">
        <v>2279</v>
      </c>
      <c r="J703">
        <v>0</v>
      </c>
      <c r="K703" t="s">
        <v>2279</v>
      </c>
      <c r="L703" t="s">
        <v>2279</v>
      </c>
      <c r="M703" t="s">
        <v>2279</v>
      </c>
      <c r="N703" t="s">
        <v>2279</v>
      </c>
      <c r="O703" s="190" t="str">
        <f t="shared" si="10"/>
        <v>[S10_AircraftInfringementPenalties][7][MaxFine]</v>
      </c>
    </row>
    <row r="704" spans="1:15" x14ac:dyDescent="0.3">
      <c r="A704" t="s">
        <v>2277</v>
      </c>
      <c r="B704" t="s">
        <v>2162</v>
      </c>
      <c r="C704" t="s">
        <v>2163</v>
      </c>
      <c r="D704">
        <v>8</v>
      </c>
      <c r="E704" t="s">
        <v>1447</v>
      </c>
      <c r="F704" t="s">
        <v>2112</v>
      </c>
      <c r="G704" t="s">
        <v>1806</v>
      </c>
      <c r="H704" t="s">
        <v>2279</v>
      </c>
      <c r="I704" t="s">
        <v>2279</v>
      </c>
      <c r="J704">
        <v>0</v>
      </c>
      <c r="K704" t="s">
        <v>2279</v>
      </c>
      <c r="L704" t="s">
        <v>2279</v>
      </c>
      <c r="M704" t="s">
        <v>2279</v>
      </c>
      <c r="N704" t="s">
        <v>2279</v>
      </c>
      <c r="O704" s="190" t="str">
        <f t="shared" si="10"/>
        <v>[S10_AircraftInfringementPenalties][8][MaxFine]</v>
      </c>
    </row>
    <row r="705" spans="1:15" x14ac:dyDescent="0.3">
      <c r="A705" t="s">
        <v>2277</v>
      </c>
      <c r="B705" t="s">
        <v>2162</v>
      </c>
      <c r="C705" t="s">
        <v>2163</v>
      </c>
      <c r="D705">
        <v>9</v>
      </c>
      <c r="E705" t="s">
        <v>1447</v>
      </c>
      <c r="F705" t="s">
        <v>2112</v>
      </c>
      <c r="G705" t="s">
        <v>1806</v>
      </c>
      <c r="H705" t="s">
        <v>2279</v>
      </c>
      <c r="I705" t="s">
        <v>2279</v>
      </c>
      <c r="J705">
        <v>0</v>
      </c>
      <c r="K705" t="s">
        <v>2279</v>
      </c>
      <c r="L705" t="s">
        <v>2279</v>
      </c>
      <c r="M705" t="s">
        <v>2279</v>
      </c>
      <c r="N705" t="s">
        <v>2279</v>
      </c>
      <c r="O705" s="190" t="str">
        <f t="shared" si="10"/>
        <v>[S10_AircraftInfringementPenalties][9][MaxFine]</v>
      </c>
    </row>
    <row r="706" spans="1:15" x14ac:dyDescent="0.3">
      <c r="A706" t="s">
        <v>2277</v>
      </c>
      <c r="B706" t="s">
        <v>2162</v>
      </c>
      <c r="C706" t="s">
        <v>2163</v>
      </c>
      <c r="D706">
        <v>10</v>
      </c>
      <c r="E706" t="s">
        <v>1447</v>
      </c>
      <c r="F706" t="s">
        <v>2112</v>
      </c>
      <c r="G706" t="s">
        <v>1806</v>
      </c>
      <c r="H706" t="s">
        <v>2279</v>
      </c>
      <c r="I706" t="s">
        <v>2279</v>
      </c>
      <c r="J706">
        <v>0</v>
      </c>
      <c r="K706" t="s">
        <v>2279</v>
      </c>
      <c r="L706" t="s">
        <v>2279</v>
      </c>
      <c r="M706" t="s">
        <v>2279</v>
      </c>
      <c r="N706" t="s">
        <v>2279</v>
      </c>
      <c r="O706" s="190" t="str">
        <f t="shared" ref="O706:O725" si="11">"["&amp;$C706&amp;"]["&amp;$D706&amp;"]["&amp;$F706&amp;"]"</f>
        <v>[S10_AircraftInfringementPenalties][10][MaxFine]</v>
      </c>
    </row>
    <row r="707" spans="1:15" x14ac:dyDescent="0.3">
      <c r="A707" t="s">
        <v>2277</v>
      </c>
      <c r="B707" t="s">
        <v>2162</v>
      </c>
      <c r="C707" t="s">
        <v>2163</v>
      </c>
      <c r="D707">
        <v>1</v>
      </c>
      <c r="E707" t="s">
        <v>1447</v>
      </c>
      <c r="F707" t="s">
        <v>2115</v>
      </c>
      <c r="G707" t="s">
        <v>1791</v>
      </c>
      <c r="H707" t="s">
        <v>2279</v>
      </c>
      <c r="I707" t="s">
        <v>2279</v>
      </c>
      <c r="J707" t="s">
        <v>2279</v>
      </c>
      <c r="K707" t="s">
        <v>2218</v>
      </c>
      <c r="L707" t="s">
        <v>2279</v>
      </c>
      <c r="M707" t="s">
        <v>2279</v>
      </c>
      <c r="N707" t="s">
        <v>2279</v>
      </c>
      <c r="O707" s="190" t="str">
        <f t="shared" si="11"/>
        <v>[S10_AircraftInfringementPenalties][1][OtherPenalty]</v>
      </c>
    </row>
    <row r="708" spans="1:15" x14ac:dyDescent="0.3">
      <c r="A708" t="s">
        <v>2277</v>
      </c>
      <c r="B708" t="s">
        <v>2162</v>
      </c>
      <c r="C708" t="s">
        <v>2164</v>
      </c>
      <c r="D708">
        <v>0</v>
      </c>
      <c r="E708" t="s">
        <v>1447</v>
      </c>
      <c r="F708" t="s">
        <v>2164</v>
      </c>
      <c r="G708" t="s">
        <v>1741</v>
      </c>
      <c r="H708" t="s">
        <v>2351</v>
      </c>
      <c r="I708" t="s">
        <v>2279</v>
      </c>
      <c r="J708" t="s">
        <v>2279</v>
      </c>
      <c r="K708" t="s">
        <v>2279</v>
      </c>
      <c r="L708" t="s">
        <v>2279</v>
      </c>
      <c r="M708" t="s">
        <v>2279</v>
      </c>
      <c r="N708" t="s">
        <v>2279</v>
      </c>
      <c r="O708" s="190" t="str">
        <f t="shared" si="11"/>
        <v>[AircraftNationalLaw][0][AircraftNationalLaw]</v>
      </c>
    </row>
    <row r="709" spans="1:15" x14ac:dyDescent="0.3">
      <c r="A709" t="s">
        <v>2277</v>
      </c>
      <c r="B709" t="s">
        <v>2165</v>
      </c>
      <c r="C709" t="s">
        <v>2167</v>
      </c>
      <c r="D709">
        <v>0</v>
      </c>
      <c r="E709" t="s">
        <v>1447</v>
      </c>
      <c r="F709" t="s">
        <v>2167</v>
      </c>
      <c r="G709" t="s">
        <v>1759</v>
      </c>
      <c r="H709" t="s">
        <v>2279</v>
      </c>
      <c r="I709" t="s">
        <v>2279</v>
      </c>
      <c r="J709" t="s">
        <v>2279</v>
      </c>
      <c r="K709" t="s">
        <v>2279</v>
      </c>
      <c r="L709" t="s">
        <v>1447</v>
      </c>
      <c r="M709" t="s">
        <v>2279</v>
      </c>
      <c r="N709" t="s">
        <v>2279</v>
      </c>
      <c r="O709" s="190" t="str">
        <f t="shared" si="11"/>
        <v>[AircraftPriorPenaltiesEnforced][0][AircraftPriorPenaltiesEnforced]</v>
      </c>
    </row>
    <row r="710" spans="1:15" x14ac:dyDescent="0.3">
      <c r="A710" t="s">
        <v>2277</v>
      </c>
      <c r="B710" t="s">
        <v>2174</v>
      </c>
      <c r="C710" t="s">
        <v>2175</v>
      </c>
      <c r="D710">
        <v>0</v>
      </c>
      <c r="E710" t="s">
        <v>1447</v>
      </c>
      <c r="F710" t="s">
        <v>2175</v>
      </c>
      <c r="G710" t="s">
        <v>1741</v>
      </c>
      <c r="H710" t="s">
        <v>2352</v>
      </c>
      <c r="I710" t="s">
        <v>2279</v>
      </c>
      <c r="J710" t="s">
        <v>2279</v>
      </c>
      <c r="K710" t="s">
        <v>2279</v>
      </c>
      <c r="L710" t="s">
        <v>2279</v>
      </c>
      <c r="M710" t="s">
        <v>2279</v>
      </c>
      <c r="N710" t="s">
        <v>2279</v>
      </c>
      <c r="O710" s="190" t="str">
        <f t="shared" si="11"/>
        <v>[LegalNatureOfEmissionAllowance][0][LegalNatureOfEmissionAllowance]</v>
      </c>
    </row>
    <row r="711" spans="1:15" x14ac:dyDescent="0.3">
      <c r="A711" t="s">
        <v>2277</v>
      </c>
      <c r="B711" t="s">
        <v>2176</v>
      </c>
      <c r="C711" t="s">
        <v>2177</v>
      </c>
      <c r="D711">
        <v>0</v>
      </c>
      <c r="E711" t="s">
        <v>1447</v>
      </c>
      <c r="F711" t="s">
        <v>2177</v>
      </c>
      <c r="G711" t="s">
        <v>1741</v>
      </c>
      <c r="H711" t="s">
        <v>2353</v>
      </c>
      <c r="I711" t="s">
        <v>2279</v>
      </c>
      <c r="J711" t="s">
        <v>2279</v>
      </c>
      <c r="K711" t="s">
        <v>2279</v>
      </c>
      <c r="L711" t="s">
        <v>2279</v>
      </c>
      <c r="M711" t="s">
        <v>2279</v>
      </c>
      <c r="N711" t="s">
        <v>2279</v>
      </c>
      <c r="O711" s="190" t="str">
        <f t="shared" si="11"/>
        <v>[AccountingTreatmentOfEmissionAllowances][0][AccountingTreatmentOfEmissionAllowances]</v>
      </c>
    </row>
    <row r="712" spans="1:15" x14ac:dyDescent="0.3">
      <c r="A712" t="s">
        <v>2277</v>
      </c>
      <c r="B712" t="s">
        <v>2178</v>
      </c>
      <c r="C712" t="s">
        <v>2179</v>
      </c>
      <c r="D712">
        <v>0</v>
      </c>
      <c r="E712" t="s">
        <v>1447</v>
      </c>
      <c r="F712" t="s">
        <v>2179</v>
      </c>
      <c r="G712" t="s">
        <v>1759</v>
      </c>
      <c r="H712" t="s">
        <v>2279</v>
      </c>
      <c r="I712" t="s">
        <v>2279</v>
      </c>
      <c r="J712" t="s">
        <v>2279</v>
      </c>
      <c r="K712" t="s">
        <v>2279</v>
      </c>
      <c r="L712" t="s">
        <v>1447</v>
      </c>
      <c r="M712" t="s">
        <v>2279</v>
      </c>
      <c r="N712" t="s">
        <v>2279</v>
      </c>
      <c r="O712" s="190" t="str">
        <f t="shared" si="11"/>
        <v>[VATdueEmissionAllowancesIssuance][0][VATdueEmissionAllowancesIssuance]</v>
      </c>
    </row>
    <row r="713" spans="1:15" x14ac:dyDescent="0.3">
      <c r="A713" t="s">
        <v>2277</v>
      </c>
      <c r="B713" t="s">
        <v>2178</v>
      </c>
      <c r="C713" t="s">
        <v>2180</v>
      </c>
      <c r="D713">
        <v>0</v>
      </c>
      <c r="E713" t="s">
        <v>1447</v>
      </c>
      <c r="F713" t="s">
        <v>2180</v>
      </c>
      <c r="G713" t="s">
        <v>1759</v>
      </c>
      <c r="H713" t="s">
        <v>2279</v>
      </c>
      <c r="I713" t="s">
        <v>2279</v>
      </c>
      <c r="J713" t="s">
        <v>2279</v>
      </c>
      <c r="K713" t="s">
        <v>2279</v>
      </c>
      <c r="L713" t="s">
        <v>1447</v>
      </c>
      <c r="M713" t="s">
        <v>2279</v>
      </c>
      <c r="N713" t="s">
        <v>2279</v>
      </c>
      <c r="O713" s="190" t="str">
        <f t="shared" si="11"/>
        <v>[ReverseChargeMechanismEmissionAllowances][0][ReverseChargeMechanismEmissionAllowances]</v>
      </c>
    </row>
    <row r="714" spans="1:15" x14ac:dyDescent="0.3">
      <c r="A714" t="s">
        <v>2277</v>
      </c>
      <c r="B714" t="s">
        <v>2181</v>
      </c>
      <c r="C714" t="s">
        <v>2182</v>
      </c>
      <c r="D714">
        <v>0</v>
      </c>
      <c r="E714" t="s">
        <v>1447</v>
      </c>
      <c r="F714" t="s">
        <v>2182</v>
      </c>
      <c r="G714" t="s">
        <v>1759</v>
      </c>
      <c r="H714" t="s">
        <v>2279</v>
      </c>
      <c r="I714" t="s">
        <v>2279</v>
      </c>
      <c r="J714" t="s">
        <v>2279</v>
      </c>
      <c r="K714" t="s">
        <v>2279</v>
      </c>
      <c r="L714" t="s">
        <v>1419</v>
      </c>
      <c r="M714" t="s">
        <v>2279</v>
      </c>
      <c r="N714" t="s">
        <v>2279</v>
      </c>
      <c r="O714" s="190" t="str">
        <f t="shared" si="11"/>
        <v>[EmissionAllowancesTaxed][0][EmissionAllowancesTaxed]</v>
      </c>
    </row>
    <row r="715" spans="1:15" x14ac:dyDescent="0.3">
      <c r="A715" t="s">
        <v>2277</v>
      </c>
      <c r="B715" t="s">
        <v>2181</v>
      </c>
      <c r="C715" t="s">
        <v>2183</v>
      </c>
      <c r="D715">
        <v>1</v>
      </c>
      <c r="E715" t="s">
        <v>1447</v>
      </c>
      <c r="F715" t="s">
        <v>2184</v>
      </c>
      <c r="G715" t="s">
        <v>1741</v>
      </c>
      <c r="H715" t="s">
        <v>2354</v>
      </c>
      <c r="I715" t="s">
        <v>2279</v>
      </c>
      <c r="J715" t="s">
        <v>2279</v>
      </c>
      <c r="K715" t="s">
        <v>2279</v>
      </c>
      <c r="L715" t="s">
        <v>2279</v>
      </c>
      <c r="M715" t="s">
        <v>2279</v>
      </c>
      <c r="N715" t="s">
        <v>2279</v>
      </c>
      <c r="O715" s="190" t="str">
        <f t="shared" si="11"/>
        <v>[S11_TypeOfTaxRatesApplied][1][TypeOfTax]</v>
      </c>
    </row>
    <row r="716" spans="1:15" x14ac:dyDescent="0.3">
      <c r="A716" t="s">
        <v>2277</v>
      </c>
      <c r="B716" t="s">
        <v>2181</v>
      </c>
      <c r="C716" t="s">
        <v>2183</v>
      </c>
      <c r="D716">
        <v>1</v>
      </c>
      <c r="E716" t="s">
        <v>1447</v>
      </c>
      <c r="F716" t="s">
        <v>2185</v>
      </c>
      <c r="G716" t="s">
        <v>1741</v>
      </c>
      <c r="H716" t="s">
        <v>2355</v>
      </c>
      <c r="I716" t="s">
        <v>2279</v>
      </c>
      <c r="J716" t="s">
        <v>2279</v>
      </c>
      <c r="K716" t="s">
        <v>2279</v>
      </c>
      <c r="L716" t="s">
        <v>2279</v>
      </c>
      <c r="M716" t="s">
        <v>2279</v>
      </c>
      <c r="N716" t="s">
        <v>2279</v>
      </c>
      <c r="O716" s="190" t="str">
        <f t="shared" si="11"/>
        <v>[S11_TypeOfTaxRatesApplied][1][TaxRateApplied]</v>
      </c>
    </row>
    <row r="717" spans="1:15" x14ac:dyDescent="0.3">
      <c r="A717" t="s">
        <v>2277</v>
      </c>
      <c r="B717" t="s">
        <v>2186</v>
      </c>
      <c r="C717" t="s">
        <v>2187</v>
      </c>
      <c r="D717">
        <v>1</v>
      </c>
      <c r="E717" t="s">
        <v>1447</v>
      </c>
      <c r="F717" t="s">
        <v>2188</v>
      </c>
      <c r="G717" t="s">
        <v>1741</v>
      </c>
      <c r="H717" t="s">
        <v>2356</v>
      </c>
      <c r="I717" t="s">
        <v>2279</v>
      </c>
      <c r="J717" t="s">
        <v>2279</v>
      </c>
      <c r="K717" t="s">
        <v>2279</v>
      </c>
      <c r="L717" t="s">
        <v>2279</v>
      </c>
      <c r="M717" t="s">
        <v>2279</v>
      </c>
      <c r="N717" t="s">
        <v>2279</v>
      </c>
      <c r="O717" s="190" t="str">
        <f t="shared" si="11"/>
        <v>[S12_FraudFreeAllocationOfAllowances][1][DetailsOfProceduresInNationalLaw]</v>
      </c>
    </row>
    <row r="718" spans="1:15" x14ac:dyDescent="0.3">
      <c r="A718" t="s">
        <v>2277</v>
      </c>
      <c r="B718" t="s">
        <v>2186</v>
      </c>
      <c r="C718" t="s">
        <v>2187</v>
      </c>
      <c r="D718">
        <v>2</v>
      </c>
      <c r="E718" t="s">
        <v>1447</v>
      </c>
      <c r="F718" t="s">
        <v>2188</v>
      </c>
      <c r="G718" t="s">
        <v>1741</v>
      </c>
      <c r="H718" t="s">
        <v>2357</v>
      </c>
      <c r="I718" t="s">
        <v>2279</v>
      </c>
      <c r="J718" t="s">
        <v>2279</v>
      </c>
      <c r="K718" t="s">
        <v>2279</v>
      </c>
      <c r="L718" t="s">
        <v>2279</v>
      </c>
      <c r="M718" t="s">
        <v>2279</v>
      </c>
      <c r="N718" t="s">
        <v>2279</v>
      </c>
      <c r="O718" s="190" t="str">
        <f t="shared" si="11"/>
        <v>[S12_FraudFreeAllocationOfAllowances][2][DetailsOfProceduresInNationalLaw]</v>
      </c>
    </row>
    <row r="719" spans="1:15" x14ac:dyDescent="0.3">
      <c r="A719" t="s">
        <v>2277</v>
      </c>
      <c r="B719" t="s">
        <v>2186</v>
      </c>
      <c r="C719" t="s">
        <v>2187</v>
      </c>
      <c r="D719">
        <v>3</v>
      </c>
      <c r="E719" t="s">
        <v>1447</v>
      </c>
      <c r="F719" t="s">
        <v>2188</v>
      </c>
      <c r="G719" t="s">
        <v>1741</v>
      </c>
      <c r="H719" t="s">
        <v>2358</v>
      </c>
      <c r="I719" t="s">
        <v>2279</v>
      </c>
      <c r="J719" t="s">
        <v>2279</v>
      </c>
      <c r="K719" t="s">
        <v>2279</v>
      </c>
      <c r="L719" t="s">
        <v>2279</v>
      </c>
      <c r="M719" t="s">
        <v>2279</v>
      </c>
      <c r="N719" t="s">
        <v>2279</v>
      </c>
      <c r="O719" s="190" t="str">
        <f t="shared" si="11"/>
        <v>[S12_FraudFreeAllocationOfAllowances][3][DetailsOfProceduresInNationalLaw]</v>
      </c>
    </row>
    <row r="720" spans="1:15" x14ac:dyDescent="0.3">
      <c r="A720" t="s">
        <v>2277</v>
      </c>
      <c r="B720" t="s">
        <v>2186</v>
      </c>
      <c r="C720" t="s">
        <v>2187</v>
      </c>
      <c r="D720">
        <v>4</v>
      </c>
      <c r="E720" t="s">
        <v>1447</v>
      </c>
      <c r="F720" t="s">
        <v>2188</v>
      </c>
      <c r="G720" t="s">
        <v>1741</v>
      </c>
      <c r="H720" t="s">
        <v>1419</v>
      </c>
      <c r="I720" t="s">
        <v>2279</v>
      </c>
      <c r="J720" t="s">
        <v>2279</v>
      </c>
      <c r="K720" t="s">
        <v>2279</v>
      </c>
      <c r="L720" t="s">
        <v>2279</v>
      </c>
      <c r="M720" t="s">
        <v>2279</v>
      </c>
      <c r="N720" t="s">
        <v>2279</v>
      </c>
      <c r="O720" s="190" t="str">
        <f t="shared" si="11"/>
        <v>[S12_FraudFreeAllocationOfAllowances][4][DetailsOfProceduresInNationalLaw]</v>
      </c>
    </row>
    <row r="721" spans="1:15" x14ac:dyDescent="0.3">
      <c r="A721" t="s">
        <v>2277</v>
      </c>
      <c r="B721" t="s">
        <v>2186</v>
      </c>
      <c r="C721" t="s">
        <v>2187</v>
      </c>
      <c r="D721">
        <v>5</v>
      </c>
      <c r="E721" t="s">
        <v>1447</v>
      </c>
      <c r="F721" t="s">
        <v>2188</v>
      </c>
      <c r="G721" t="s">
        <v>1741</v>
      </c>
      <c r="H721" t="s">
        <v>1419</v>
      </c>
      <c r="I721" t="s">
        <v>2279</v>
      </c>
      <c r="J721" t="s">
        <v>2279</v>
      </c>
      <c r="K721" t="s">
        <v>2279</v>
      </c>
      <c r="L721" t="s">
        <v>2279</v>
      </c>
      <c r="M721" t="s">
        <v>2279</v>
      </c>
      <c r="N721" t="s">
        <v>2279</v>
      </c>
      <c r="O721" s="190" t="str">
        <f t="shared" si="11"/>
        <v>[S12_FraudFreeAllocationOfAllowances][5][DetailsOfProceduresInNationalLaw]</v>
      </c>
    </row>
    <row r="722" spans="1:15" x14ac:dyDescent="0.3">
      <c r="A722" t="s">
        <v>2277</v>
      </c>
      <c r="B722" t="s">
        <v>2192</v>
      </c>
      <c r="C722" t="s">
        <v>2193</v>
      </c>
      <c r="D722">
        <v>1</v>
      </c>
      <c r="E722" t="s">
        <v>1447</v>
      </c>
      <c r="F722" t="s">
        <v>2194</v>
      </c>
      <c r="G722" t="s">
        <v>1748</v>
      </c>
      <c r="H722" t="s">
        <v>2279</v>
      </c>
      <c r="I722">
        <v>0</v>
      </c>
      <c r="J722" t="s">
        <v>2279</v>
      </c>
      <c r="K722" t="s">
        <v>2279</v>
      </c>
      <c r="L722" t="s">
        <v>2279</v>
      </c>
      <c r="M722" t="s">
        <v>2279</v>
      </c>
      <c r="N722" t="s">
        <v>2279</v>
      </c>
      <c r="O722" s="190" t="str">
        <f t="shared" si="11"/>
        <v>[S12_InformationOnFraudActivities][1][NumberOfActivities]</v>
      </c>
    </row>
    <row r="723" spans="1:15" x14ac:dyDescent="0.3">
      <c r="A723" t="s">
        <v>2277</v>
      </c>
      <c r="B723" t="s">
        <v>2192</v>
      </c>
      <c r="C723" t="s">
        <v>2193</v>
      </c>
      <c r="D723">
        <v>2</v>
      </c>
      <c r="E723" t="s">
        <v>1447</v>
      </c>
      <c r="F723" t="s">
        <v>2194</v>
      </c>
      <c r="G723" t="s">
        <v>1748</v>
      </c>
      <c r="H723" t="s">
        <v>2279</v>
      </c>
      <c r="I723">
        <v>0</v>
      </c>
      <c r="J723" t="s">
        <v>2279</v>
      </c>
      <c r="K723" t="s">
        <v>2279</v>
      </c>
      <c r="L723" t="s">
        <v>2279</v>
      </c>
      <c r="M723" t="s">
        <v>2279</v>
      </c>
      <c r="N723" t="s">
        <v>2279</v>
      </c>
      <c r="O723" s="190" t="str">
        <f t="shared" si="11"/>
        <v>[S12_InformationOnFraudActivities][2][NumberOfActivities]</v>
      </c>
    </row>
    <row r="724" spans="1:15" x14ac:dyDescent="0.3">
      <c r="A724" t="s">
        <v>2277</v>
      </c>
      <c r="B724" t="s">
        <v>2192</v>
      </c>
      <c r="C724" t="s">
        <v>2193</v>
      </c>
      <c r="D724">
        <v>3</v>
      </c>
      <c r="E724" t="s">
        <v>1447</v>
      </c>
      <c r="F724" t="s">
        <v>2194</v>
      </c>
      <c r="G724" t="s">
        <v>1748</v>
      </c>
      <c r="H724" t="s">
        <v>2279</v>
      </c>
      <c r="I724">
        <v>0</v>
      </c>
      <c r="J724" t="s">
        <v>2279</v>
      </c>
      <c r="K724" t="s">
        <v>2279</v>
      </c>
      <c r="L724" t="s">
        <v>2279</v>
      </c>
      <c r="M724" t="s">
        <v>2279</v>
      </c>
      <c r="N724" t="s">
        <v>2279</v>
      </c>
      <c r="O724" s="190" t="str">
        <f t="shared" si="11"/>
        <v>[S12_InformationOnFraudActivities][3][NumberOfActivities]</v>
      </c>
    </row>
    <row r="725" spans="1:15" x14ac:dyDescent="0.3">
      <c r="A725" t="s">
        <v>2277</v>
      </c>
      <c r="B725" t="s">
        <v>2192</v>
      </c>
      <c r="C725" t="s">
        <v>2193</v>
      </c>
      <c r="D725">
        <v>4</v>
      </c>
      <c r="E725" t="s">
        <v>1447</v>
      </c>
      <c r="F725" t="s">
        <v>2194</v>
      </c>
      <c r="G725" t="s">
        <v>1748</v>
      </c>
      <c r="H725" t="s">
        <v>2279</v>
      </c>
      <c r="I725">
        <v>0</v>
      </c>
      <c r="J725" t="s">
        <v>2279</v>
      </c>
      <c r="K725" t="s">
        <v>2279</v>
      </c>
      <c r="L725" t="s">
        <v>2279</v>
      </c>
      <c r="M725" t="s">
        <v>2279</v>
      </c>
      <c r="N725" t="s">
        <v>2279</v>
      </c>
      <c r="O725" s="190" t="str">
        <f t="shared" si="11"/>
        <v>[S12_InformationOnFraudActivities][4][NumberOfActivities]</v>
      </c>
    </row>
    <row r="726" spans="1:15" x14ac:dyDescent="0.3">
      <c r="A726" t="s">
        <v>2277</v>
      </c>
      <c r="B726" t="s">
        <v>2199</v>
      </c>
      <c r="C726" t="s">
        <v>2200</v>
      </c>
      <c r="D726">
        <v>0</v>
      </c>
      <c r="E726" t="s">
        <v>1447</v>
      </c>
      <c r="F726" t="s">
        <v>2200</v>
      </c>
      <c r="G726" t="s">
        <v>1759</v>
      </c>
      <c r="H726" t="s">
        <v>2279</v>
      </c>
      <c r="I726" t="s">
        <v>2279</v>
      </c>
      <c r="J726" t="s">
        <v>2279</v>
      </c>
      <c r="K726" t="s">
        <v>2279</v>
      </c>
      <c r="L726" t="s">
        <v>1419</v>
      </c>
      <c r="M726" t="s">
        <v>2279</v>
      </c>
      <c r="N726" t="s">
        <v>2279</v>
      </c>
      <c r="O726" s="190" t="str">
        <f>"["&amp;$C726&amp;"]["&amp;$D726&amp;"]["&amp;$F726&amp;"]"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_</v>
      </c>
      <c r="D8" s="258" t="str">
        <f>_xlfn.CONCAT(_xlfn.XLOOKUP("[S07_NoFurtherAllowancesSurrendered][1][OperatorName]",Submission!$O:$O,Submission!$H:$N,""))</f>
        <v>_</v>
      </c>
      <c r="E8" s="260"/>
      <c r="F8" s="258" t="str">
        <f>_xlfn.CONCAT(_xlfn.XLOOKUP("[S07_NoFurtherAllowancesSurrendered][1][InstallationName]",Submission!$O:$O,Submission!$H:$N,""))</f>
        <v>_</v>
      </c>
      <c r="G8" s="260"/>
      <c r="H8" s="108" t="str">
        <f>_xlfn.CONCAT(_xlfn.XLOOKUP("[S07_NoFurtherAllowancesSurrendered][1][OutstandingAllowances]",Submission!$O:$O,Submission!$H:$N,""))</f>
        <v>0</v>
      </c>
      <c r="I8" s="72" t="str">
        <f>_xlfn.CONCAT(_xlfn.XLOOKUP("[S07_NoFurtherAllowancesSurrendered][1][ReasonNoFurtherAllowancesSurrendered]",Submission!$O:$O,Submission!$H:$N,""))</f>
        <v>_</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1</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215300</v>
      </c>
      <c r="D27" s="254"/>
      <c r="E27" s="254"/>
      <c r="F27" s="254"/>
      <c r="G27" s="254" t="str">
        <f>_xlfn.CONCAT(_xlfn.XLOOKUP("[S07_AircraftOperatorsUseArt15MandateDetail][1][AircraftOperatorName]",Submission!$O:$O,Submission!$H:$N,""))</f>
        <v>Cargo Air OOD</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136"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Yes</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1</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1</v>
      </c>
      <c r="H54" s="475"/>
      <c r="I54" s="476"/>
    </row>
    <row r="55" spans="1:9" ht="29.4" customHeight="1" x14ac:dyDescent="0.3">
      <c r="C55" s="249" t="s">
        <v>1168</v>
      </c>
      <c r="D55" s="272"/>
      <c r="E55" s="272"/>
      <c r="F55" s="273"/>
      <c r="G55" s="474" t="str">
        <f>_xlfn.CONCAT(_xlfn.XLOOKUP("[S08_ScopeExclusion][2][NumberOfInstallations]",Submission!$O:$O,Submission!$H:$N,""))</f>
        <v>0</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0</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0</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0</v>
      </c>
      <c r="I75" s="361"/>
    </row>
    <row r="76" spans="1:9" ht="19.95" customHeight="1" x14ac:dyDescent="0.3">
      <c r="C76" s="249" t="s">
        <v>1185</v>
      </c>
      <c r="D76" s="272"/>
      <c r="E76" s="272"/>
      <c r="F76" s="272"/>
      <c r="G76" s="273"/>
      <c r="H76" s="351" t="str">
        <f>_xlfn.CONCAT(_xlfn.XLOOKUP("[S08_NegativeOpinionBaselineData][2][NumberOfInstallations]",Submission!$O:$O,Submission!$H:$N,""))</f>
        <v>0</v>
      </c>
      <c r="I76" s="361"/>
    </row>
    <row r="77" spans="1:9" ht="19.95" customHeight="1" x14ac:dyDescent="0.3">
      <c r="C77" s="249" t="s">
        <v>1186</v>
      </c>
      <c r="D77" s="272"/>
      <c r="E77" s="272"/>
      <c r="F77" s="272"/>
      <c r="G77" s="273"/>
      <c r="H77" s="351" t="str">
        <f>_xlfn.CONCAT(_xlfn.XLOOKUP("[S08_NegativeOpinionBaselineData][3][NumberOfInstallations]",Submission!$O:$O,Submission!$H:$N,""))</f>
        <v>0</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No</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2</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
      </c>
      <c r="D157" s="260"/>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61" t="str">
        <f>_xlfn.CONCAT(_xlfn.XLOOKUP("[S08_ActivityDataIssuesDetail]["&amp;ROW(B157)-ROW($B$156)&amp;"][NumberOfInstallationsConEst]",Submission!$O:$O,Submission!$H:$N,""))</f>
        <v/>
      </c>
      <c r="I157" s="462"/>
    </row>
    <row r="158" spans="1:9" ht="54" customHeight="1" x14ac:dyDescent="0.3">
      <c r="C158" s="258" t="str">
        <f>_xlfn.CONCAT(_xlfn.XLOOKUP("[S08_ActivityDataIssuesDetail]["&amp;ROW(B158)-ROW($B$156)&amp;"][AnnexIActivity]",Submission!$O:$O,Submission!$H:$N,""))</f>
        <v/>
      </c>
      <c r="D158" s="260"/>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61" t="str">
        <f>_xlfn.CONCAT(_xlfn.XLOOKUP("[S08_ActivityDataIssuesDetail]["&amp;ROW(B158)-ROW($B$156)&amp;"][NumberOfInstallationsConEst]",Submission!$O:$O,Submission!$H:$N,""))</f>
        <v/>
      </c>
      <c r="I158" s="462"/>
    </row>
    <row r="159" spans="1:9" ht="54" customHeight="1" x14ac:dyDescent="0.3">
      <c r="C159" s="258" t="str">
        <f>_xlfn.CONCAT(_xlfn.XLOOKUP("[S08_ActivityDataIssuesDetail]["&amp;ROW(B159)-ROW($B$156)&amp;"][AnnexIActivity]",Submission!$O:$O,Submission!$H:$N,""))</f>
        <v/>
      </c>
      <c r="D159" s="260"/>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61" t="str">
        <f>_xlfn.CONCAT(_xlfn.XLOOKUP("[S08_ActivityDataIssuesDetail]["&amp;ROW(B159)-ROW($B$156)&amp;"][NumberOfInstallationsConEst]",Submission!$O:$O,Submission!$H:$N,""))</f>
        <v/>
      </c>
      <c r="I159" s="462"/>
    </row>
    <row r="160" spans="1:9" ht="54" customHeight="1" x14ac:dyDescent="0.3">
      <c r="C160" s="258" t="str">
        <f>_xlfn.CONCAT(_xlfn.XLOOKUP("[S08_ActivityDataIssuesDetail]["&amp;ROW(B160)-ROW($B$156)&amp;"][AnnexIActivity]",Submission!$O:$O,Submission!$H:$N,""))</f>
        <v/>
      </c>
      <c r="D160" s="260"/>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61" t="str">
        <f>_xlfn.CONCAT(_xlfn.XLOOKUP("[S08_ActivityDataIssuesDetail]["&amp;ROW(B160)-ROW($B$156)&amp;"][NumberOfInstallationsConEst]",Submission!$O:$O,Submission!$H:$N,""))</f>
        <v/>
      </c>
      <c r="I160" s="462"/>
    </row>
    <row r="161" spans="3:9" ht="54" customHeight="1" x14ac:dyDescent="0.3">
      <c r="C161" s="258" t="str">
        <f>_xlfn.CONCAT(_xlfn.XLOOKUP("[S08_ActivityDataIssuesDetail]["&amp;ROW(B161)-ROW($B$156)&amp;"][AnnexIActivity]",Submission!$O:$O,Submission!$H:$N,""))</f>
        <v/>
      </c>
      <c r="D161" s="260"/>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1" t="str">
        <f>_xlfn.CONCAT(_xlfn.XLOOKUP("[S08_ActivityDataIssuesDetail]["&amp;ROW(B161)-ROW($B$156)&amp;"][NumberOfInstallationsConEst]",Submission!$O:$O,Submission!$H:$N,""))</f>
        <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Yes</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3</v>
      </c>
      <c r="G244" s="361"/>
      <c r="H244" s="351" t="str">
        <f>_xlfn.CONCAT(_xlfn.XLOOKUP("[S08_ActivityReportRejectedDetail][2][ReasonForRejection]",Submission!$O:$O,Submission!$H:$N,""))</f>
        <v>It was found that some parameters were incorrectly reported.</v>
      </c>
      <c r="I244" s="361"/>
    </row>
    <row r="245" spans="1:9" s="58" customFormat="1" ht="48" customHeight="1" x14ac:dyDescent="0.3">
      <c r="A245" s="75"/>
      <c r="C245" s="249" t="s">
        <v>1210</v>
      </c>
      <c r="D245" s="272"/>
      <c r="E245" s="273"/>
      <c r="F245" s="258" t="str">
        <f>_xlfn.CONCAT(_xlfn.XLOOKUP("[S08_ActivityReportRejectedDetail][3][ActionsTaken]",Submission!$O:$O,Submission!$H:$N,""))</f>
        <v>The operators were requested to correct the data and to resubmit the reports.</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500</v>
      </c>
      <c r="F283" s="105" t="str">
        <f>_xlfn.CONCAT(_xlfn.XLOOKUP("[S08_PenaltiesAllocation][1][MaxFine]",Submission!$O:$O,Submission!$H:$N,""))</f>
        <v>5000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500</v>
      </c>
      <c r="F284" s="105" t="str">
        <f>_xlfn.CONCAT(_xlfn.XLOOKUP("[S08_PenaltiesAllocation][2][MaxFine]",Submission!$O:$O,Submission!$H:$N,""))</f>
        <v>5000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0</v>
      </c>
      <c r="F285" s="105" t="str">
        <f>_xlfn.CONCAT(_xlfn.XLOOKUP("[S08_PenaltiesAllocation][3][MaxFine]",Submission!$O:$O,Submission!$H:$N,""))</f>
        <v>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250</v>
      </c>
      <c r="H9" s="465"/>
      <c r="I9" s="462"/>
    </row>
    <row r="10" spans="1:9" x14ac:dyDescent="0.3">
      <c r="C10" s="468" t="s">
        <v>1253</v>
      </c>
      <c r="D10" s="469"/>
      <c r="E10" s="469"/>
      <c r="F10" s="470"/>
      <c r="G10" s="461" t="str">
        <f>_xlfn.CONCAT(_xlfn.XLOOKUP("[S09_InstallationOperatorFeesPermits][2][FeesAmount]",Submission!$O:$O,Submission!$H:$N,""))</f>
        <v>100</v>
      </c>
      <c r="H10" s="465"/>
      <c r="I10" s="462"/>
    </row>
    <row r="11" spans="1:9" x14ac:dyDescent="0.3">
      <c r="C11" s="468" t="s">
        <v>1254</v>
      </c>
      <c r="D11" s="469"/>
      <c r="E11" s="469"/>
      <c r="F11" s="470"/>
      <c r="G11" s="461" t="str">
        <f>_xlfn.CONCAT(_xlfn.XLOOKUP("[S09_InstallationOperatorFeesPermits][3][FeesAmount]",Submission!$O:$O,Submission!$H:$N,""))</f>
        <v>0</v>
      </c>
      <c r="H11" s="465"/>
      <c r="I11" s="462"/>
    </row>
    <row r="12" spans="1:9" x14ac:dyDescent="0.3">
      <c r="C12" s="468" t="s">
        <v>1255</v>
      </c>
      <c r="D12" s="469"/>
      <c r="E12" s="469"/>
      <c r="F12" s="470"/>
      <c r="G12" s="461" t="str">
        <f>_xlfn.CONCAT(_xlfn.XLOOKUP("[S09_InstallationOperatorFeesPermits][4][FeesAmount]",Submission!$O:$O,Submission!$H:$N,""))</f>
        <v>0</v>
      </c>
      <c r="H12" s="465"/>
      <c r="I12" s="462"/>
    </row>
    <row r="13" spans="1:9" x14ac:dyDescent="0.3">
      <c r="C13" s="468" t="s">
        <v>1256</v>
      </c>
      <c r="D13" s="469"/>
      <c r="E13" s="469"/>
      <c r="F13" s="470"/>
      <c r="G13" s="461" t="str">
        <f>_xlfn.CONCAT(_xlfn.XLOOKUP("[S09_InstallationOperatorFeesPermits][5][FeesAmount]",Submission!$O:$O,Submission!$H:$N,""))</f>
        <v>500</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0</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Yes</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500</v>
      </c>
      <c r="H34" s="465"/>
      <c r="I34" s="462"/>
    </row>
    <row r="35" spans="2:9" x14ac:dyDescent="0.3">
      <c r="C35" s="468" t="s">
        <v>1266</v>
      </c>
      <c r="D35" s="469"/>
      <c r="E35" s="469"/>
      <c r="F35" s="470"/>
      <c r="G35" s="461" t="str">
        <f>_xlfn.CONCAT(_xlfn.XLOOKUP("[S09_AircraftOperatorFeesMonitoringPlans][2][FeesAmount]",Submission!$O:$O,Submission!$H:$N,""))</f>
        <v>50</v>
      </c>
      <c r="H35" s="465"/>
      <c r="I35" s="462"/>
    </row>
    <row r="36" spans="2:9" x14ac:dyDescent="0.3">
      <c r="C36" s="468" t="s">
        <v>1267</v>
      </c>
      <c r="D36" s="469"/>
      <c r="E36" s="469"/>
      <c r="F36" s="470"/>
      <c r="G36" s="461" t="str">
        <f>_xlfn.CONCAT(_xlfn.XLOOKUP("[S09_AircraftOperatorFeesMonitoringPlans][3][FeesAmount]",Submission!$O:$O,Submission!$H:$N,""))</f>
        <v>500</v>
      </c>
      <c r="H36" s="465"/>
      <c r="I36" s="462"/>
    </row>
    <row r="37" spans="2:9" x14ac:dyDescent="0.3">
      <c r="C37" s="468" t="s">
        <v>1268</v>
      </c>
      <c r="D37" s="469"/>
      <c r="E37" s="469"/>
      <c r="F37" s="470"/>
      <c r="G37" s="461" t="str">
        <f>_xlfn.CONCAT(_xlfn.XLOOKUP("[S09_AircraftOperatorFeesMonitoringPlans][4][FeesAmount]",Submission!$O:$O,Submission!$H:$N,""))</f>
        <v>50</v>
      </c>
      <c r="H37" s="465"/>
      <c r="I37" s="462"/>
    </row>
    <row r="38" spans="2:9" x14ac:dyDescent="0.3">
      <c r="C38" s="468" t="s">
        <v>1269</v>
      </c>
      <c r="D38" s="469"/>
      <c r="E38" s="469"/>
      <c r="F38" s="470"/>
      <c r="G38" s="461" t="str">
        <f>_xlfn.CONCAT(_xlfn.XLOOKUP("[S09_AircraftOperatorFeesMonitoringPlans][5][FeesAmount]",Submission!$O:$O,Submission!$H:$N,""))</f>
        <v>0</v>
      </c>
      <c r="H38" s="465"/>
      <c r="I38" s="462"/>
    </row>
    <row r="39" spans="2:9" x14ac:dyDescent="0.3">
      <c r="C39" s="468" t="s">
        <v>1270</v>
      </c>
      <c r="D39" s="469"/>
      <c r="E39" s="469"/>
      <c r="F39" s="470"/>
      <c r="G39" s="461" t="str">
        <f>_xlfn.CONCAT(_xlfn.XLOOKUP("[S09_AircraftOperatorFeesMonitoringPlans][6][FeesAmount]",Submission!$O:$O,Submission!$H:$N,""))</f>
        <v>0</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0</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Fee for opening of operator and aircraft operator accounts</v>
      </c>
      <c r="D60" s="460"/>
      <c r="E60" s="460"/>
      <c r="F60" s="256"/>
      <c r="G60" s="461" t="str">
        <f>_xlfn.CONCAT(_xlfn.XLOOKUP("[S09_RegistryAccountOneOffFees][1][OneOffFeeAmount]",Submission!$O:$O,Submission!$H:$N,""))</f>
        <v>100</v>
      </c>
      <c r="H60" s="465"/>
      <c r="I60" s="462"/>
    </row>
    <row r="61" spans="1:9" x14ac:dyDescent="0.3">
      <c r="C61" s="255" t="str">
        <f>_xlfn.CONCAT(_xlfn.XLOOKUP("[S09_RegistryAccountOneOffFees][2][OneOffFeeReason]",Submission!$O:$O,Submission!$H:$N,""))</f>
        <v>Fee for opening of trading accounts</v>
      </c>
      <c r="D61" s="460"/>
      <c r="E61" s="460"/>
      <c r="F61" s="256"/>
      <c r="G61" s="461" t="str">
        <f>_xlfn.CONCAT(_xlfn.XLOOKUP("[S09_RegistryAccountOneOffFees][2][OneOffFeeAmount]",Submission!$O:$O,Submission!$H:$N,""))</f>
        <v>175</v>
      </c>
      <c r="H61" s="465"/>
      <c r="I61" s="462"/>
    </row>
    <row r="62" spans="1:9" x14ac:dyDescent="0.3">
      <c r="C62" s="255" t="str">
        <f>_xlfn.CONCAT(_xlfn.XLOOKUP("[S09_RegistryAccountOneOffFees][3][OneOffFeeReason]",Submission!$O:$O,Submission!$H:$N,""))</f>
        <v>Fee for opening of verifier accounts</v>
      </c>
      <c r="D62" s="460"/>
      <c r="E62" s="460"/>
      <c r="F62" s="256"/>
      <c r="G62" s="461" t="str">
        <f>_xlfn.CONCAT(_xlfn.XLOOKUP("[S09_RegistryAccountOneOffFees][3][OneOffFeeAmount]",Submission!$O:$O,Submission!$H:$N,""))</f>
        <v>50</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Fee Verify</v>
      </c>
      <c r="D74" s="460"/>
      <c r="E74" s="460"/>
      <c r="F74" s="256"/>
      <c r="G74" s="461" t="str">
        <f>_xlfn.CONCAT(_xlfn.XLOOKUP("[S09_RegistryAccountAnnualFees][1][AnnualFeeAmount]",Submission!$O:$O,Submission!$H:$N,""))</f>
        <v>50</v>
      </c>
      <c r="H74" s="465"/>
      <c r="I74" s="462"/>
    </row>
    <row r="75" spans="2:9" x14ac:dyDescent="0.3">
      <c r="C75" s="255" t="str">
        <f>_xlfn.CONCAT(_xlfn.XLOOKUP("[S09_RegistryAccountAnnualFees][2][AnnualFeeReason]",Submission!$O:$O,Submission!$H:$N,""))</f>
        <v>Fee Trade</v>
      </c>
      <c r="D75" s="460"/>
      <c r="E75" s="460"/>
      <c r="F75" s="256"/>
      <c r="G75" s="461" t="str">
        <f>_xlfn.CONCAT(_xlfn.XLOOKUP("[S09_RegistryAccountAnnualFees][2][AnnualFeeAmount]",Submission!$O:$O,Submission!$H:$N,""))</f>
        <v>175</v>
      </c>
      <c r="H75" s="465"/>
      <c r="I75" s="462"/>
    </row>
    <row r="76" spans="2:9" x14ac:dyDescent="0.3">
      <c r="C76" s="255" t="str">
        <f>_xlfn.CONCAT(_xlfn.XLOOKUP("[S09_RegistryAccountAnnualFees][3][AnnualFeeReason]",Submission!$O:$O,Submission!$H:$N,""))</f>
        <v>Fee for operator and aircraft operators</v>
      </c>
      <c r="D76" s="460"/>
      <c r="E76" s="460"/>
      <c r="F76" s="256"/>
      <c r="G76" s="461" t="str">
        <f>_xlfn.CONCAT(_xlfn.XLOOKUP("[S09_RegistryAccountAnnualFees][3][AnnualFeeAmount]",Submission!$O:$O,Submission!$H:$N,""))</f>
        <v>100</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D55" sqref="D55"/>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Yes</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Yes</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Yes</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2500</v>
      </c>
      <c r="F21" s="105" t="str">
        <f>_xlfn.CONCAT(_xlfn.XLOOKUP("[S10_InstallationsInfringementPenalties]["&amp;ROW(B21)-ROW($B$20)&amp;"][MaxFine]",Submission!$O:$O,Submission!$H:$N,""))</f>
        <v>25000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500</v>
      </c>
      <c r="F22" s="105" t="str">
        <f>_xlfn.CONCAT(_xlfn.XLOOKUP("[S10_InstallationsInfringementPenalties]["&amp;ROW(B22)-ROW($B$20)&amp;"][MaxFine]",Submission!$O:$O,Submission!$H:$N,""))</f>
        <v>5000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2500</v>
      </c>
      <c r="F23" s="105" t="str">
        <f>_xlfn.CONCAT(_xlfn.XLOOKUP("[S10_InstallationsInfringementPenalties]["&amp;ROW(B23)-ROW($B$20)&amp;"][MaxFine]",Submission!$O:$O,Submission!$H:$N,""))</f>
        <v>25000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The monitoring plan is part of the GHG emissions permit and the infringement is the same as for exploitation without a permit</v>
      </c>
    </row>
    <row r="24" spans="1:9" ht="41.4" customHeight="1" x14ac:dyDescent="0.3">
      <c r="A24" s="13"/>
      <c r="C24" s="249" t="s">
        <v>1290</v>
      </c>
      <c r="D24" s="250"/>
      <c r="E24" s="105" t="str">
        <f>_xlfn.CONCAT(_xlfn.XLOOKUP("[S10_InstallationsInfringementPenalties]["&amp;ROW(B24)-ROW($B$20)&amp;"][MinFine]",Submission!$O:$O,Submission!$H:$N,""))</f>
        <v>0</v>
      </c>
      <c r="F24" s="105" t="str">
        <f>_xlfn.CONCAT(_xlfn.XLOOKUP("[S10_InstallationsInfringementPenalties]["&amp;ROW(B24)-ROW($B$20)&amp;"][MaxFine]",Submission!$O:$O,Submission!$H:$N,""))</f>
        <v>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This would be a reason for refusal to issue a permit</v>
      </c>
    </row>
    <row r="25" spans="1:9" ht="33" customHeight="1" x14ac:dyDescent="0.3">
      <c r="C25" s="249" t="s">
        <v>1291</v>
      </c>
      <c r="D25" s="250"/>
      <c r="E25" s="105" t="str">
        <f>_xlfn.CONCAT(_xlfn.XLOOKUP("[S10_InstallationsInfringementPenalties]["&amp;ROW(B25)-ROW($B$20)&amp;"][MinFine]",Submission!$O:$O,Submission!$H:$N,""))</f>
        <v>0</v>
      </c>
      <c r="F25" s="105" t="str">
        <f>_xlfn.CONCAT(_xlfn.XLOOKUP("[S10_InstallationsInfringementPenalties]["&amp;ROW(B25)-ROW($B$20)&amp;"][MaxFine]",Submission!$O:$O,Submission!$H:$N,""))</f>
        <v>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This would be a reason for refusal to issue a permit</v>
      </c>
    </row>
    <row r="26" spans="1:9" ht="41.4" customHeight="1" x14ac:dyDescent="0.3">
      <c r="C26" s="249" t="s">
        <v>1292</v>
      </c>
      <c r="D26" s="250"/>
      <c r="E26" s="105" t="str">
        <f>_xlfn.CONCAT(_xlfn.XLOOKUP("[S10_InstallationsInfringementPenalties]["&amp;ROW(B26)-ROW($B$20)&amp;"][MinFine]",Submission!$O:$O,Submission!$H:$N,""))</f>
        <v>500</v>
      </c>
      <c r="F26" s="105" t="str">
        <f>_xlfn.CONCAT(_xlfn.XLOOKUP("[S10_InstallationsInfringementPenalties]["&amp;ROW(B26)-ROW($B$20)&amp;"][MaxFine]",Submission!$O:$O,Submission!$H:$N,""))</f>
        <v>5000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Infringement for non-compliance with the permit conditions</v>
      </c>
    </row>
    <row r="27" spans="1:9" ht="41.4" customHeight="1" x14ac:dyDescent="0.3">
      <c r="C27" s="249" t="s">
        <v>1293</v>
      </c>
      <c r="D27" s="250"/>
      <c r="E27" s="105" t="str">
        <f>_xlfn.CONCAT(_xlfn.XLOOKUP("[S10_InstallationsInfringementPenalties]["&amp;ROW(B27)-ROW($B$20)&amp;"][MinFine]",Submission!$O:$O,Submission!$H:$N,""))</f>
        <v>500</v>
      </c>
      <c r="F27" s="105" t="str">
        <f>_xlfn.CONCAT(_xlfn.XLOOKUP("[S10_InstallationsInfringementPenalties]["&amp;ROW(B27)-ROW($B$20)&amp;"][MaxFine]",Submission!$O:$O,Submission!$H:$N,""))</f>
        <v>5000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Infringement for non-compliance with the permit conditions</v>
      </c>
    </row>
    <row r="28" spans="1:9" ht="33" customHeight="1" x14ac:dyDescent="0.3">
      <c r="C28" s="249" t="s">
        <v>1294</v>
      </c>
      <c r="D28" s="250"/>
      <c r="E28" s="105" t="str">
        <f>_xlfn.CONCAT(_xlfn.XLOOKUP("[S10_InstallationsInfringementPenalties]["&amp;ROW(B28)-ROW($B$20)&amp;"][MinFine]",Submission!$O:$O,Submission!$H:$N,""))</f>
        <v>0</v>
      </c>
      <c r="F28" s="105" t="str">
        <f>_xlfn.CONCAT(_xlfn.XLOOKUP("[S10_InstallationsInfringementPenalties]["&amp;ROW(B28)-ROW($B$20)&amp;"][MaxFine]",Submission!$O:$O,Submission!$H:$N,""))</f>
        <v>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0</v>
      </c>
      <c r="F29" s="105" t="str">
        <f>_xlfn.CONCAT(_xlfn.XLOOKUP("[S10_InstallationsInfringementPenalties]["&amp;ROW(B29)-ROW($B$20)&amp;"][MaxFine]",Submission!$O:$O,Submission!$H:$N,""))</f>
        <v>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0</v>
      </c>
      <c r="F30" s="105" t="str">
        <f>_xlfn.CONCAT(_xlfn.XLOOKUP("[S10_InstallationsInfringementPenalties]["&amp;ROW(B30)-ROW($B$20)&amp;"][MaxFine]",Submission!$O:$O,Submission!$H:$N,""))</f>
        <v>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0</v>
      </c>
      <c r="F31" s="105" t="str">
        <f>_xlfn.CONCAT(_xlfn.XLOOKUP("[S10_InstallationsInfringementPenalties]["&amp;ROW(B31)-ROW($B$20)&amp;"][MaxFine]",Submission!$O:$O,Submission!$H:$N,""))</f>
        <v>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Pursuant to the Climate Change Act the emissions should be reported by the ExEA with conservative estimate</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0</v>
      </c>
      <c r="F147" s="105" t="str">
        <f>_xlfn.CONCAT(_xlfn.XLOOKUP("[S10_AircraftInfringementPenalties][1][MaxFine]",Submission!$O:$O,Submission!$H:$N,""))</f>
        <v>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NA</v>
      </c>
    </row>
    <row r="148" spans="1:9" ht="40.200000000000003" customHeight="1" x14ac:dyDescent="0.3">
      <c r="A148" s="13"/>
      <c r="C148" s="249" t="s">
        <v>1290</v>
      </c>
      <c r="D148" s="273"/>
      <c r="E148" s="105" t="str">
        <f>_xlfn.CONCAT(_xlfn.XLOOKUP("[S10_AircraftInfringementPenalties][2][MinFine]",Submission!$O:$O,Submission!$H:$N,""))</f>
        <v>500</v>
      </c>
      <c r="F148" s="105" t="str">
        <f>_xlfn.CONCAT(_xlfn.XLOOKUP("[S10_AircraftInfringementPenalties][2][MaxFine]",Submission!$O:$O,Submission!$H:$N,""))</f>
        <v>5000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500</v>
      </c>
      <c r="F149" s="105" t="str">
        <f>_xlfn.CONCAT(_xlfn.XLOOKUP("[S10_AircraftInfringementPenalties][3][MaxFine]",Submission!$O:$O,Submission!$H:$N,""))</f>
        <v>5000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3"/>
      <c r="E150" s="105" t="str">
        <f>_xlfn.CONCAT(_xlfn.XLOOKUP("[S10_AircraftInfringementPenalties][4][MinFine]",Submission!$O:$O,Submission!$H:$N,""))</f>
        <v>500</v>
      </c>
      <c r="F150" s="105" t="str">
        <f>_xlfn.CONCAT(_xlfn.XLOOKUP("[S10_AircraftInfringementPenalties][4][MaxFine]",Submission!$O:$O,Submission!$H:$N,""))</f>
        <v>5000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500</v>
      </c>
      <c r="F151" s="105" t="str">
        <f>_xlfn.CONCAT(_xlfn.XLOOKUP("[S10_AircraftInfringementPenalties][5][MaxFine]",Submission!$O:$O,Submission!$H:$N,""))</f>
        <v>5000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0</v>
      </c>
      <c r="F152" s="105" t="str">
        <f>_xlfn.CONCAT(_xlfn.XLOOKUP("[S10_AircraftInfringementPenalties][6][MaxFine]",Submission!$O:$O,Submission!$H:$N,""))</f>
        <v>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0</v>
      </c>
      <c r="F153" s="105" t="str">
        <f>_xlfn.CONCAT(_xlfn.XLOOKUP("[S10_AircraftInfringementPenalties][7][MaxFine]",Submission!$O:$O,Submission!$H:$N,""))</f>
        <v>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0</v>
      </c>
      <c r="F154" s="105" t="str">
        <f>_xlfn.CONCAT(_xlfn.XLOOKUP("[S10_AircraftInfringementPenalties][8][MaxFine]",Submission!$O:$O,Submission!$H:$N,""))</f>
        <v>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0</v>
      </c>
      <c r="F155" s="105" t="str">
        <f>_xlfn.CONCAT(_xlfn.XLOOKUP("[S10_AircraftInfringementPenalties][9][MaxFine]",Submission!$O:$O,Submission!$H:$N,""))</f>
        <v>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0</v>
      </c>
      <c r="F156" s="105" t="str">
        <f>_xlfn.CONCAT(_xlfn.XLOOKUP("[S10_AircraftInfringementPenalties][10][MaxFine]",Submission!$O:$O,Submission!$H:$N,""))</f>
        <v>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 xml:space="preserve">The Climate Change Act </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I11" sqref="I11"/>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The free allocated allowances are classified as Government grants and in this case the IAS 38 Intangible Assets is applied. For the traders of allowances the rules of IAS 2 (Inventories) have to be applied. In this case the allowances are considered as “assets classified as held for sale”</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If the allowances are allocated for free, they are classified as non-depreciable assets for the purposes of accounting. For the traders – the allowances can’t be classified pursuant to the National Accounting Standards for Small and Medium-sized Enterprises. The rules of IAS 1 (p.3 b) and p. 25.2 b)) Presentation of Financial Statement have to be applied.</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VAT</v>
      </c>
      <c r="D18" s="353"/>
      <c r="E18" s="353"/>
      <c r="F18" s="260"/>
      <c r="G18" s="258" t="str">
        <f>_xlfn.CONCAT(_xlfn.XLOOKUP("[S11_TypeOfTaxRatesApplied][1][TaxRateApplied]",Submission!$O:$O,Submission!$H:$N,""))</f>
        <v>10</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In case of suspicion of fraudulent activity related to the free allocation of allowances the ExEA should without delay notify the Financial Investigation Directorate of the State Agency for National Security and to undertake the suitable measures to collect information regarding the person responsible for the fraudulent activity</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In case of suspicion of fraudulent activity related to the free allocation of allowances the ExEA should without delay notify the Financial Investigation Directorate of the State Agency for National Security and to delay, if possible according to the legislative requirements for the relevant activity, the transfer of allowances</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E54" sqref="E54:I54"/>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MOEW</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ExEA</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RIEW</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CMRB</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
      </c>
    </row>
    <row r="3" spans="1:21" x14ac:dyDescent="0.3">
      <c r="A3" t="s">
        <v>1738</v>
      </c>
      <c r="B3" t="s">
        <v>1739</v>
      </c>
      <c r="C3">
        <v>0</v>
      </c>
      <c r="D3" t="s">
        <v>1447</v>
      </c>
      <c r="E3" t="s">
        <v>1742</v>
      </c>
      <c r="F3" t="s">
        <v>1741</v>
      </c>
      <c r="G3" t="str">
        <f>IF(ISBLANK('Q 1'!E6),"",IF('Q 1'!E6="&lt;please select&gt;","",'Q 1'!E6))</f>
        <v/>
      </c>
    </row>
    <row r="4" spans="1:21" x14ac:dyDescent="0.3">
      <c r="A4" t="s">
        <v>1738</v>
      </c>
      <c r="B4" t="s">
        <v>1739</v>
      </c>
      <c r="C4">
        <v>0</v>
      </c>
      <c r="D4" t="s">
        <v>1447</v>
      </c>
      <c r="E4" t="s">
        <v>1743</v>
      </c>
      <c r="F4" t="s">
        <v>1741</v>
      </c>
      <c r="G4" t="str">
        <f>IF(ISBLANK('Q 1'!E7),"",IF('Q 1'!E7="&lt;please select&gt;","",'Q 1'!E7))</f>
        <v/>
      </c>
    </row>
    <row r="5" spans="1:21" x14ac:dyDescent="0.3">
      <c r="A5" t="s">
        <v>1738</v>
      </c>
      <c r="B5" t="s">
        <v>1739</v>
      </c>
      <c r="C5">
        <v>0</v>
      </c>
      <c r="D5" t="s">
        <v>1447</v>
      </c>
      <c r="E5" t="s">
        <v>1744</v>
      </c>
      <c r="F5" t="s">
        <v>1741</v>
      </c>
      <c r="G5" t="str">
        <f>IF(ISBLANK('Q 1'!E8),"",IF('Q 1'!E8="&lt;please select&gt;","",'Q 1'!E8))</f>
        <v/>
      </c>
    </row>
    <row r="6" spans="1:21" x14ac:dyDescent="0.3">
      <c r="A6" t="s">
        <v>1738</v>
      </c>
      <c r="B6" t="s">
        <v>1739</v>
      </c>
      <c r="C6">
        <v>0</v>
      </c>
      <c r="D6" t="s">
        <v>1447</v>
      </c>
      <c r="E6" t="s">
        <v>1745</v>
      </c>
      <c r="F6" t="s">
        <v>1741</v>
      </c>
      <c r="G6" t="str">
        <f>IF(ISBLANK('Q 1'!E9),"",IF('Q 1'!E9="&lt;please select&gt;","",'Q 1'!E9))</f>
        <v/>
      </c>
    </row>
    <row r="7" spans="1:21" x14ac:dyDescent="0.3">
      <c r="A7" t="s">
        <v>1738</v>
      </c>
      <c r="B7" t="s">
        <v>1739</v>
      </c>
      <c r="C7">
        <v>0</v>
      </c>
      <c r="D7" t="s">
        <v>1447</v>
      </c>
      <c r="E7" t="s">
        <v>1746</v>
      </c>
      <c r="F7" t="s">
        <v>1741</v>
      </c>
      <c r="G7" t="str">
        <f>IF(ISBLANK('Q 1'!E10),"",IF('Q 1'!E10="&lt;please select&gt;","",'Q 1'!E10))</f>
        <v/>
      </c>
    </row>
    <row r="8" spans="1:21" x14ac:dyDescent="0.3">
      <c r="A8" t="s">
        <v>1738</v>
      </c>
      <c r="B8" t="s">
        <v>1739</v>
      </c>
      <c r="C8">
        <v>0</v>
      </c>
      <c r="D8" t="s">
        <v>1447</v>
      </c>
      <c r="E8" t="s">
        <v>1747</v>
      </c>
      <c r="F8" t="s">
        <v>1748</v>
      </c>
      <c r="H8" t="str">
        <f>IF(ISBLANK('Q 1'!E11),"",IF('Q 1'!E11="&lt;please select&gt;","",'Q 1'!E11))</f>
        <v/>
      </c>
    </row>
    <row r="9" spans="1:21" x14ac:dyDescent="0.3">
      <c r="A9" t="s">
        <v>1749</v>
      </c>
      <c r="B9" t="s">
        <v>1750</v>
      </c>
      <c r="C9">
        <v>1</v>
      </c>
      <c r="D9" t="s">
        <v>1447</v>
      </c>
      <c r="E9" t="s">
        <v>1751</v>
      </c>
      <c r="F9" t="s">
        <v>1741</v>
      </c>
      <c r="G9" t="str">
        <f>IF(ISBLANK('Q 2'!C7),"",IF('Q 2'!C7="&lt;please select&gt;","",'Q 2'!C7))</f>
        <v>Ministry of Environment and Water</v>
      </c>
    </row>
    <row r="10" spans="1:21" x14ac:dyDescent="0.3">
      <c r="A10" t="s">
        <v>1749</v>
      </c>
      <c r="B10" t="s">
        <v>1750</v>
      </c>
      <c r="C10">
        <v>2</v>
      </c>
      <c r="D10" t="s">
        <v>1447</v>
      </c>
      <c r="E10" t="s">
        <v>1751</v>
      </c>
      <c r="F10" t="s">
        <v>1741</v>
      </c>
      <c r="G10" t="str">
        <f>IF(ISBLANK('Q 2'!C8),"",IF('Q 2'!C8="&lt;please select&gt;","",'Q 2'!C8))</f>
        <v>Executive Environment Agency</v>
      </c>
    </row>
    <row r="11" spans="1:21" x14ac:dyDescent="0.3">
      <c r="A11" t="s">
        <v>1749</v>
      </c>
      <c r="B11" t="s">
        <v>1750</v>
      </c>
      <c r="C11">
        <v>3</v>
      </c>
      <c r="D11" t="s">
        <v>1447</v>
      </c>
      <c r="E11" t="s">
        <v>1751</v>
      </c>
      <c r="F11" t="s">
        <v>1741</v>
      </c>
      <c r="G11" t="str">
        <f>IF(ISBLANK('Q 2'!C9),"",IF('Q 2'!C9="&lt;please select&gt;","",'Q 2'!C9))</f>
        <v>Regional Inspectorates of Environment and Water</v>
      </c>
    </row>
    <row r="12" spans="1:21" x14ac:dyDescent="0.3">
      <c r="A12" t="s">
        <v>1749</v>
      </c>
      <c r="B12" t="s">
        <v>1750</v>
      </c>
      <c r="C12">
        <v>4</v>
      </c>
      <c r="D12" t="s">
        <v>1447</v>
      </c>
      <c r="E12" t="s">
        <v>1751</v>
      </c>
      <c r="F12" t="s">
        <v>1741</v>
      </c>
      <c r="G12" t="str">
        <f>IF(ISBLANK('Q 2'!C10),"",IF('Q 2'!C10="&lt;please select&gt;","",'Q 2'!C10))</f>
        <v>Council of Ministers of the Republic of Bulgaria</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MOEW</v>
      </c>
    </row>
    <row r="32" spans="1:7" x14ac:dyDescent="0.3">
      <c r="A32" t="s">
        <v>1749</v>
      </c>
      <c r="B32" t="s">
        <v>1750</v>
      </c>
      <c r="C32">
        <v>2</v>
      </c>
      <c r="D32" t="s">
        <v>1447</v>
      </c>
      <c r="E32" t="s">
        <v>1752</v>
      </c>
      <c r="F32" t="s">
        <v>1741</v>
      </c>
      <c r="G32" t="str">
        <f>IF(ISBLANK('Q 2'!D8),"",IF('Q 2'!D8="&lt;please select&gt;","",'Q 2'!D8))</f>
        <v>ExEA</v>
      </c>
    </row>
    <row r="33" spans="1:7" x14ac:dyDescent="0.3">
      <c r="A33" t="s">
        <v>1749</v>
      </c>
      <c r="B33" t="s">
        <v>1750</v>
      </c>
      <c r="C33">
        <v>3</v>
      </c>
      <c r="D33" t="s">
        <v>1447</v>
      </c>
      <c r="E33" t="s">
        <v>1752</v>
      </c>
      <c r="F33" t="s">
        <v>1741</v>
      </c>
      <c r="G33" t="str">
        <f>IF(ISBLANK('Q 2'!D9),"",IF('Q 2'!D9="&lt;please select&gt;","",'Q 2'!D9))</f>
        <v>RIEW</v>
      </c>
    </row>
    <row r="34" spans="1:7" x14ac:dyDescent="0.3">
      <c r="A34" t="s">
        <v>1749</v>
      </c>
      <c r="B34" t="s">
        <v>1750</v>
      </c>
      <c r="C34">
        <v>4</v>
      </c>
      <c r="D34" t="s">
        <v>1447</v>
      </c>
      <c r="E34" t="s">
        <v>1752</v>
      </c>
      <c r="F34" t="s">
        <v>1741</v>
      </c>
      <c r="G34" t="str">
        <f>IF(ISBLANK('Q 2'!D10),"",IF('Q 2'!D10="&lt;please select&gt;","",'Q 2'!D10))</f>
        <v>CMRB</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Regional competent authority</v>
      </c>
    </row>
    <row r="56" spans="1:7" x14ac:dyDescent="0.3">
      <c r="A56" t="s">
        <v>1749</v>
      </c>
      <c r="B56" t="s">
        <v>1750</v>
      </c>
      <c r="C56">
        <v>4</v>
      </c>
      <c r="D56" t="s">
        <v>1447</v>
      </c>
      <c r="E56" t="s">
        <v>1753</v>
      </c>
      <c r="F56" t="s">
        <v>1741</v>
      </c>
      <c r="G56" t="str">
        <f>IF(ISBLANK('Q 2'!E10),"",IF('Q 2'!E10="&lt;please select&gt;","",'Q 2'!E10))</f>
        <v>Other</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+359 2 940 61 44</v>
      </c>
    </row>
    <row r="76" spans="1:7" x14ac:dyDescent="0.3">
      <c r="A76" t="s">
        <v>1749</v>
      </c>
      <c r="B76" t="s">
        <v>1750</v>
      </c>
      <c r="C76">
        <v>2</v>
      </c>
      <c r="D76" t="s">
        <v>1447</v>
      </c>
      <c r="E76" t="s">
        <v>1754</v>
      </c>
      <c r="F76" t="s">
        <v>1741</v>
      </c>
      <c r="G76" s="165" t="str">
        <f>IF(ISBLANK('Q 2'!F8),"",IF('Q 2'!F8="&lt;please select&gt;","",'Q 2'!F8))</f>
        <v>+359 2 955 90 22</v>
      </c>
    </row>
    <row r="77" spans="1:7" x14ac:dyDescent="0.3">
      <c r="A77" t="s">
        <v>1749</v>
      </c>
      <c r="B77" t="s">
        <v>1750</v>
      </c>
      <c r="C77">
        <v>3</v>
      </c>
      <c r="D77" t="s">
        <v>1447</v>
      </c>
      <c r="E77" t="s">
        <v>1754</v>
      </c>
      <c r="F77" t="s">
        <v>1741</v>
      </c>
      <c r="G77" s="165" t="str">
        <f>IF(ISBLANK('Q 2'!F9),"",IF('Q 2'!F9="&lt;please select&gt;","",'Q 2'!F9))</f>
        <v>+359 2 940 64 98</v>
      </c>
    </row>
    <row r="78" spans="1:7" x14ac:dyDescent="0.3">
      <c r="A78" t="s">
        <v>1749</v>
      </c>
      <c r="B78" t="s">
        <v>1750</v>
      </c>
      <c r="C78">
        <v>4</v>
      </c>
      <c r="D78" t="s">
        <v>1447</v>
      </c>
      <c r="E78" t="s">
        <v>1754</v>
      </c>
      <c r="F78" t="s">
        <v>1741</v>
      </c>
      <c r="G78" s="165" t="str">
        <f>IF(ISBLANK('Q 2'!F10),"",IF('Q 2'!F10="&lt;please select&gt;","",'Q 2'!F10))</f>
        <v>+359 2 940 27 70</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
      </c>
    </row>
    <row r="98" spans="1:7" x14ac:dyDescent="0.3">
      <c r="A98" t="s">
        <v>1749</v>
      </c>
      <c r="B98" t="s">
        <v>1750</v>
      </c>
      <c r="C98">
        <v>2</v>
      </c>
      <c r="D98" t="s">
        <v>1447</v>
      </c>
      <c r="E98" t="s">
        <v>1755</v>
      </c>
      <c r="F98" t="s">
        <v>1741</v>
      </c>
      <c r="G98" t="str">
        <f>IF(ISBLANK('Q 2'!G8),"",IF('Q 2'!G8="&lt;please select&gt;","",'Q 2'!G8))</f>
        <v/>
      </c>
    </row>
    <row r="99" spans="1:7" x14ac:dyDescent="0.3">
      <c r="A99" t="s">
        <v>1749</v>
      </c>
      <c r="B99" t="s">
        <v>1750</v>
      </c>
      <c r="C99">
        <v>3</v>
      </c>
      <c r="D99" t="s">
        <v>1447</v>
      </c>
      <c r="E99" t="s">
        <v>1755</v>
      </c>
      <c r="F99" t="s">
        <v>1741</v>
      </c>
      <c r="G99" t="str">
        <f>IF(ISBLANK('Q 2'!G9),"",IF('Q 2'!G9="&lt;please select&gt;","",'Q 2'!G9))</f>
        <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dpetrova@moew.government.bg</v>
      </c>
    </row>
    <row r="120" spans="1:7" x14ac:dyDescent="0.3">
      <c r="A120" t="s">
        <v>1749</v>
      </c>
      <c r="B120" t="s">
        <v>1750</v>
      </c>
      <c r="C120">
        <v>2</v>
      </c>
      <c r="D120" t="s">
        <v>1447</v>
      </c>
      <c r="E120" t="s">
        <v>1756</v>
      </c>
      <c r="F120" t="s">
        <v>1741</v>
      </c>
      <c r="G120" t="str">
        <f>IF(ISBLANK('Q 2'!H8),"",IF('Q 2'!H8="&lt;please select&gt;","",'Q 2'!H8))</f>
        <v>iaos@eea.government.bg</v>
      </c>
    </row>
    <row r="121" spans="1:7" x14ac:dyDescent="0.3">
      <c r="A121" t="s">
        <v>1749</v>
      </c>
      <c r="B121" t="s">
        <v>1750</v>
      </c>
      <c r="C121">
        <v>3</v>
      </c>
      <c r="D121" t="s">
        <v>1447</v>
      </c>
      <c r="E121" t="s">
        <v>1756</v>
      </c>
      <c r="F121" t="s">
        <v>1741</v>
      </c>
      <c r="G121" t="str">
        <f>IF(ISBLANK('Q 2'!H9),"",IF('Q 2'!H9="&lt;please select&gt;","",'Q 2'!H9))</f>
        <v>riosv@riew-sofia.org</v>
      </c>
    </row>
    <row r="122" spans="1:7" x14ac:dyDescent="0.3">
      <c r="A122" t="s">
        <v>1749</v>
      </c>
      <c r="B122" t="s">
        <v>1750</v>
      </c>
      <c r="C122">
        <v>4</v>
      </c>
      <c r="D122" t="s">
        <v>1447</v>
      </c>
      <c r="E122" t="s">
        <v>1756</v>
      </c>
      <c r="F122" t="s">
        <v>1741</v>
      </c>
      <c r="G122" t="str">
        <f>IF(ISBLANK('Q 2'!H10),"",IF('Q 2'!H10="&lt;please select&gt;","",'Q 2'!H10))</f>
        <v>GIS@government.bg</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http://www.moew.government.bg</v>
      </c>
    </row>
    <row r="142" spans="1:7" x14ac:dyDescent="0.3">
      <c r="A142" t="s">
        <v>1749</v>
      </c>
      <c r="B142" t="s">
        <v>1750</v>
      </c>
      <c r="C142">
        <v>2</v>
      </c>
      <c r="D142" t="s">
        <v>1447</v>
      </c>
      <c r="E142" t="s">
        <v>1757</v>
      </c>
      <c r="F142" t="s">
        <v>1741</v>
      </c>
      <c r="G142" t="str">
        <f>IF(ISBLANK('Q 2'!I8),"",IF('Q 2'!I8="&lt;please select&gt;","",'Q 2'!I8))</f>
        <v>http://eea.government.bg</v>
      </c>
    </row>
    <row r="143" spans="1:7" x14ac:dyDescent="0.3">
      <c r="A143" t="s">
        <v>1749</v>
      </c>
      <c r="B143" t="s">
        <v>1750</v>
      </c>
      <c r="C143">
        <v>3</v>
      </c>
      <c r="D143" t="s">
        <v>1447</v>
      </c>
      <c r="E143" t="s">
        <v>1757</v>
      </c>
      <c r="F143" t="s">
        <v>1741</v>
      </c>
      <c r="G143" t="str">
        <f>IF(ISBLANK('Q 2'!I9),"",IF('Q 2'!I9="&lt;please select&gt;","",'Q 2'!I9))</f>
        <v>http://www.moew.government.bg</v>
      </c>
    </row>
    <row r="144" spans="1:7" x14ac:dyDescent="0.3">
      <c r="A144" t="s">
        <v>1749</v>
      </c>
      <c r="B144" t="s">
        <v>1750</v>
      </c>
      <c r="C144">
        <v>4</v>
      </c>
      <c r="D144" t="s">
        <v>1447</v>
      </c>
      <c r="E144" t="s">
        <v>1757</v>
      </c>
      <c r="F144" t="s">
        <v>1741</v>
      </c>
      <c r="G144" t="str">
        <f>IF(ISBLANK('Q 2'!I10),"",IF('Q 2'!I10="&lt;please select&gt;","",'Q 2'!I10))</f>
        <v>http://www.government.bg/</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Executive agency Bulgarian accreditation service</v>
      </c>
    </row>
    <row r="165" spans="1:11" x14ac:dyDescent="0.3">
      <c r="A165" t="s">
        <v>1749</v>
      </c>
      <c r="B165" t="s">
        <v>1760</v>
      </c>
      <c r="C165">
        <v>1</v>
      </c>
      <c r="D165" t="s">
        <v>1447</v>
      </c>
      <c r="E165" t="s">
        <v>1762</v>
      </c>
      <c r="F165" t="s">
        <v>1741</v>
      </c>
      <c r="G165" t="str">
        <f>IF(ISBLANK('Q 2'!E39),"",IF('Q 2'!E39="&lt;please select&gt;","",'Q 2'!E39))</f>
        <v>EABAS</v>
      </c>
    </row>
    <row r="166" spans="1:11" x14ac:dyDescent="0.3">
      <c r="A166" t="s">
        <v>1749</v>
      </c>
      <c r="B166" t="s">
        <v>1760</v>
      </c>
      <c r="C166">
        <v>1</v>
      </c>
      <c r="D166" t="s">
        <v>1447</v>
      </c>
      <c r="E166" t="s">
        <v>1763</v>
      </c>
      <c r="F166" t="s">
        <v>1741</v>
      </c>
      <c r="G166" t="str">
        <f>IF(ISBLANK('Q 2'!F39),"",IF('Q 2'!F39="&lt;please select&gt;","",'Q 2'!F39))</f>
        <v>35929766401</v>
      </c>
    </row>
    <row r="167" spans="1:11" x14ac:dyDescent="0.3">
      <c r="A167" t="s">
        <v>1749</v>
      </c>
      <c r="B167" t="s">
        <v>1760</v>
      </c>
      <c r="C167">
        <v>1</v>
      </c>
      <c r="D167" t="s">
        <v>1447</v>
      </c>
      <c r="E167" t="s">
        <v>1764</v>
      </c>
      <c r="F167" t="s">
        <v>1741</v>
      </c>
      <c r="G167" t="str">
        <f>IF(ISBLANK('Q 2'!G39),"",IF('Q 2'!G39="&lt;please select&gt;","",'Q 2'!G39))</f>
        <v>office@nab-bas.bg</v>
      </c>
    </row>
    <row r="168" spans="1:11" x14ac:dyDescent="0.3">
      <c r="A168" t="s">
        <v>1749</v>
      </c>
      <c r="B168" t="s">
        <v>1760</v>
      </c>
      <c r="C168">
        <v>1</v>
      </c>
      <c r="D168" t="s">
        <v>1447</v>
      </c>
      <c r="E168" t="s">
        <v>1765</v>
      </c>
      <c r="F168" t="s">
        <v>1741</v>
      </c>
      <c r="G168" t="str">
        <f>IF(ISBLANK('Q 2'!H39),"",IF('Q 2'!H39="&lt;please select&gt;","",'Q 2'!H39))</f>
        <v>www.nab-bas.bg</v>
      </c>
    </row>
    <row r="169" spans="1:11" x14ac:dyDescent="0.3">
      <c r="A169" t="s">
        <v>1749</v>
      </c>
      <c r="B169" t="s">
        <v>1766</v>
      </c>
      <c r="C169">
        <v>0</v>
      </c>
      <c r="D169" t="s">
        <v>1447</v>
      </c>
      <c r="E169" t="s">
        <v>1766</v>
      </c>
      <c r="F169" t="s">
        <v>1759</v>
      </c>
      <c r="K169" t="str">
        <f>IF(ISBLANK('Q 2'!I41),"",IF('Q 2'!I41="&lt;please select&gt;","",'Q 2'!I41))</f>
        <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Executive Environment Agency</v>
      </c>
    </row>
    <row r="176" spans="1:11" x14ac:dyDescent="0.3">
      <c r="A176" t="s">
        <v>1749</v>
      </c>
      <c r="B176" t="s">
        <v>1773</v>
      </c>
      <c r="C176">
        <v>1</v>
      </c>
      <c r="D176" t="s">
        <v>1447</v>
      </c>
      <c r="E176" t="s">
        <v>1775</v>
      </c>
      <c r="F176" t="s">
        <v>1741</v>
      </c>
      <c r="G176" t="str">
        <f>IF(ISBLANK('Q 2'!E49),"",IF('Q 2'!E49="&lt;please select&gt;","",'Q 2'!E49))</f>
        <v>ExEA</v>
      </c>
    </row>
    <row r="177" spans="1:7" x14ac:dyDescent="0.3">
      <c r="A177" t="s">
        <v>1749</v>
      </c>
      <c r="B177" t="s">
        <v>1773</v>
      </c>
      <c r="C177">
        <v>1</v>
      </c>
      <c r="D177" t="s">
        <v>1447</v>
      </c>
      <c r="E177" t="s">
        <v>1776</v>
      </c>
      <c r="F177" t="s">
        <v>1741</v>
      </c>
      <c r="G177" t="str">
        <f>IF(ISBLANK('Q 2'!F49),"",IF('Q 2'!F49="&lt;please select&gt;","",'Q 2'!F49))</f>
        <v>35929559022</v>
      </c>
    </row>
    <row r="178" spans="1:7" x14ac:dyDescent="0.3">
      <c r="A178" t="s">
        <v>1749</v>
      </c>
      <c r="B178" t="s">
        <v>1773</v>
      </c>
      <c r="C178">
        <v>1</v>
      </c>
      <c r="D178" t="s">
        <v>1447</v>
      </c>
      <c r="E178" t="s">
        <v>1777</v>
      </c>
      <c r="F178" t="s">
        <v>1741</v>
      </c>
      <c r="G178" t="str">
        <f>IF(ISBLANK('Q 2'!G49),"",IF('Q 2'!G49="&lt;please select&gt;","",'Q 2'!G49))</f>
        <v>iaos@eea.government.bg</v>
      </c>
    </row>
    <row r="179" spans="1:7" x14ac:dyDescent="0.3">
      <c r="A179" t="s">
        <v>1749</v>
      </c>
      <c r="B179" t="s">
        <v>1773</v>
      </c>
      <c r="C179">
        <v>1</v>
      </c>
      <c r="D179" t="s">
        <v>1447</v>
      </c>
      <c r="E179" t="s">
        <v>1778</v>
      </c>
      <c r="F179" t="s">
        <v>1741</v>
      </c>
      <c r="G179" t="str">
        <f>IF(ISBLANK('Q 2'!H49),"",IF('Q 2'!H49="&lt;please select&gt;","",'Q 2'!H49))</f>
        <v>http://eea.government.bg</v>
      </c>
    </row>
    <row r="180" spans="1:7" x14ac:dyDescent="0.3">
      <c r="A180" t="s">
        <v>1779</v>
      </c>
      <c r="B180" t="s">
        <v>1780</v>
      </c>
      <c r="C180">
        <v>1</v>
      </c>
      <c r="D180" t="s">
        <v>1447</v>
      </c>
      <c r="E180" t="s">
        <v>1781</v>
      </c>
      <c r="F180" t="s">
        <v>1741</v>
      </c>
      <c r="G180" t="str">
        <f>IF(ISBLANK('Q 2'!F54),"",IF('Q 2'!F54="&lt;please select&gt;","",'Q 2'!F54))</f>
        <v>ExEA</v>
      </c>
    </row>
    <row r="181" spans="1:7" x14ac:dyDescent="0.3">
      <c r="A181" t="s">
        <v>1779</v>
      </c>
      <c r="B181" t="s">
        <v>1780</v>
      </c>
      <c r="C181">
        <v>2</v>
      </c>
      <c r="D181" t="s">
        <v>1447</v>
      </c>
      <c r="E181" t="s">
        <v>1781</v>
      </c>
      <c r="F181" t="s">
        <v>1741</v>
      </c>
      <c r="G181" t="str">
        <f>IF(ISBLANK('Q 2'!F55),"",IF('Q 2'!F55="&lt;please select&gt;","",'Q 2'!F55))</f>
        <v>ExEA</v>
      </c>
    </row>
    <row r="182" spans="1:7" x14ac:dyDescent="0.3">
      <c r="A182" t="s">
        <v>1779</v>
      </c>
      <c r="B182" t="s">
        <v>1780</v>
      </c>
      <c r="C182">
        <v>3</v>
      </c>
      <c r="D182" t="s">
        <v>1447</v>
      </c>
      <c r="E182" t="s">
        <v>1781</v>
      </c>
      <c r="F182" t="s">
        <v>1741</v>
      </c>
      <c r="G182" t="str">
        <f>IF(ISBLANK('Q 2'!F56),"",IF('Q 2'!F56="&lt;please select&gt;","",'Q 2'!F56))</f>
        <v>MOEW,CMRB</v>
      </c>
    </row>
    <row r="183" spans="1:7" x14ac:dyDescent="0.3">
      <c r="A183" t="s">
        <v>1779</v>
      </c>
      <c r="B183" t="s">
        <v>1780</v>
      </c>
      <c r="C183">
        <v>4</v>
      </c>
      <c r="D183" t="s">
        <v>1447</v>
      </c>
      <c r="E183" t="s">
        <v>1781</v>
      </c>
      <c r="F183" t="s">
        <v>1741</v>
      </c>
      <c r="G183" t="str">
        <f>IF(ISBLANK('Q 2'!F57),"",IF('Q 2'!F57="&lt;please select&gt;","",'Q 2'!F57))</f>
        <v>MOEW</v>
      </c>
    </row>
    <row r="184" spans="1:7" x14ac:dyDescent="0.3">
      <c r="A184" t="s">
        <v>1779</v>
      </c>
      <c r="B184" t="s">
        <v>1780</v>
      </c>
      <c r="C184">
        <v>6</v>
      </c>
      <c r="D184" t="s">
        <v>1447</v>
      </c>
      <c r="E184" t="s">
        <v>1781</v>
      </c>
      <c r="F184" t="s">
        <v>1741</v>
      </c>
      <c r="G184" t="str">
        <f>IF(ISBLANK('Q 2'!F59),"",IF('Q 2'!F59="&lt;please select&gt;","",'Q 2'!F59))</f>
        <v xml:space="preserve"> MOEW</v>
      </c>
    </row>
    <row r="185" spans="1:7" x14ac:dyDescent="0.3">
      <c r="A185" t="s">
        <v>1779</v>
      </c>
      <c r="B185" t="s">
        <v>1780</v>
      </c>
      <c r="C185">
        <v>7</v>
      </c>
      <c r="D185" t="s">
        <v>1447</v>
      </c>
      <c r="E185" t="s">
        <v>1781</v>
      </c>
      <c r="F185" t="s">
        <v>1741</v>
      </c>
      <c r="G185" t="str">
        <f>IF(ISBLANK('Q 2'!F60),"",IF('Q 2'!F60="&lt;please select&gt;","",'Q 2'!F60))</f>
        <v>MOEW,ExEA</v>
      </c>
    </row>
    <row r="186" spans="1:7" x14ac:dyDescent="0.3">
      <c r="A186" t="s">
        <v>1779</v>
      </c>
      <c r="B186" t="s">
        <v>1780</v>
      </c>
      <c r="C186">
        <v>8</v>
      </c>
      <c r="D186" t="s">
        <v>1447</v>
      </c>
      <c r="E186" t="s">
        <v>1781</v>
      </c>
      <c r="F186" t="s">
        <v>1741</v>
      </c>
      <c r="G186" t="str">
        <f>IF(ISBLANK('Q 2'!F61),"",IF('Q 2'!F61="&lt;please select&gt;","",'Q 2'!F61))</f>
        <v>ExEA</v>
      </c>
    </row>
    <row r="187" spans="1:7" x14ac:dyDescent="0.3">
      <c r="A187" t="s">
        <v>1779</v>
      </c>
      <c r="B187" t="s">
        <v>1780</v>
      </c>
      <c r="C187">
        <v>9</v>
      </c>
      <c r="D187" t="s">
        <v>1447</v>
      </c>
      <c r="E187" t="s">
        <v>1781</v>
      </c>
      <c r="F187" t="s">
        <v>1741</v>
      </c>
      <c r="G187" t="str">
        <f>IF(ISBLANK('Q 2'!F62),"",IF('Q 2'!F62="&lt;please select&gt;","",'Q 2'!F62))</f>
        <v>ExEA</v>
      </c>
    </row>
    <row r="188" spans="1:7" x14ac:dyDescent="0.3">
      <c r="A188" t="s">
        <v>1779</v>
      </c>
      <c r="B188" t="s">
        <v>1780</v>
      </c>
      <c r="C188">
        <v>10</v>
      </c>
      <c r="D188" t="s">
        <v>1447</v>
      </c>
      <c r="E188" t="s">
        <v>1781</v>
      </c>
      <c r="F188" t="s">
        <v>1741</v>
      </c>
      <c r="G188" t="str">
        <f>IF(ISBLANK('Q 2'!F63),"",IF('Q 2'!F63="&lt;please select&gt;","",'Q 2'!F63))</f>
        <v xml:space="preserve"> ExEA</v>
      </c>
    </row>
    <row r="189" spans="1:7" x14ac:dyDescent="0.3">
      <c r="A189" t="s">
        <v>1779</v>
      </c>
      <c r="B189" t="s">
        <v>1780</v>
      </c>
      <c r="C189">
        <v>11</v>
      </c>
      <c r="D189" t="s">
        <v>1447</v>
      </c>
      <c r="E189" t="s">
        <v>1781</v>
      </c>
      <c r="F189" t="s">
        <v>1741</v>
      </c>
      <c r="G189" t="str">
        <f>IF(ISBLANK('Q 2'!F64),"",IF('Q 2'!F64="&lt;please select&gt;","",'Q 2'!F64))</f>
        <v>ExEA,RIEW</v>
      </c>
    </row>
    <row r="190" spans="1:7" x14ac:dyDescent="0.3">
      <c r="A190" t="s">
        <v>1779</v>
      </c>
      <c r="B190" t="s">
        <v>1780</v>
      </c>
      <c r="C190">
        <v>12</v>
      </c>
      <c r="D190" t="s">
        <v>1447</v>
      </c>
      <c r="E190" t="s">
        <v>1781</v>
      </c>
      <c r="F190" t="s">
        <v>1741</v>
      </c>
      <c r="G190" t="str">
        <f>IF(ISBLANK('Q 2'!F65),"",IF('Q 2'!F65="&lt;please select&gt;","",'Q 2'!F65))</f>
        <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MOEW</v>
      </c>
    </row>
    <row r="197" spans="1:7" x14ac:dyDescent="0.3">
      <c r="A197" t="s">
        <v>1779</v>
      </c>
      <c r="B197" t="s">
        <v>1780</v>
      </c>
      <c r="C197">
        <v>6</v>
      </c>
      <c r="D197" t="s">
        <v>1447</v>
      </c>
      <c r="E197" t="s">
        <v>1782</v>
      </c>
      <c r="F197" t="s">
        <v>1741</v>
      </c>
      <c r="G197" t="str">
        <f>IF(ISBLANK('Q 2'!H59),"",IF('Q 2'!H59="&lt;please select&gt;","",'Q 2'!H59))</f>
        <v xml:space="preserve"> MOEW</v>
      </c>
    </row>
    <row r="198" spans="1:7" x14ac:dyDescent="0.3">
      <c r="A198" t="s">
        <v>1779</v>
      </c>
      <c r="B198" t="s">
        <v>1780</v>
      </c>
      <c r="C198">
        <v>7</v>
      </c>
      <c r="D198" t="s">
        <v>1447</v>
      </c>
      <c r="E198" t="s">
        <v>1782</v>
      </c>
      <c r="F198" t="s">
        <v>1741</v>
      </c>
      <c r="G198" t="str">
        <f>IF(ISBLANK('Q 2'!H60),"",IF('Q 2'!H60="&lt;please select&gt;","",'Q 2'!H60))</f>
        <v>MOEW,ExEA</v>
      </c>
    </row>
    <row r="199" spans="1:7" x14ac:dyDescent="0.3">
      <c r="A199" t="s">
        <v>1779</v>
      </c>
      <c r="B199" t="s">
        <v>1780</v>
      </c>
      <c r="C199">
        <v>8</v>
      </c>
      <c r="D199" t="s">
        <v>1447</v>
      </c>
      <c r="E199" t="s">
        <v>1782</v>
      </c>
      <c r="F199" t="s">
        <v>1741</v>
      </c>
      <c r="G199" t="str">
        <f>IF(ISBLANK('Q 2'!H61),"",IF('Q 2'!H61="&lt;please select&gt;","",'Q 2'!H61))</f>
        <v>ExEA</v>
      </c>
    </row>
    <row r="200" spans="1:7" x14ac:dyDescent="0.3">
      <c r="A200" t="s">
        <v>1779</v>
      </c>
      <c r="B200" t="s">
        <v>1780</v>
      </c>
      <c r="C200">
        <v>9</v>
      </c>
      <c r="D200" t="s">
        <v>1447</v>
      </c>
      <c r="E200" t="s">
        <v>1782</v>
      </c>
      <c r="F200" t="s">
        <v>1741</v>
      </c>
      <c r="G200" t="str">
        <f>IF(ISBLANK('Q 2'!H62),"",IF('Q 2'!H62="&lt;please select&gt;","",'Q 2'!H62))</f>
        <v>ExEA</v>
      </c>
    </row>
    <row r="201" spans="1:7" x14ac:dyDescent="0.3">
      <c r="A201" t="s">
        <v>1779</v>
      </c>
      <c r="B201" t="s">
        <v>1780</v>
      </c>
      <c r="C201">
        <v>10</v>
      </c>
      <c r="D201" t="s">
        <v>1447</v>
      </c>
      <c r="E201" t="s">
        <v>1782</v>
      </c>
      <c r="F201" t="s">
        <v>1741</v>
      </c>
      <c r="G201" t="str">
        <f>IF(ISBLANK('Q 2'!H63),"",IF('Q 2'!H63="&lt;please select&gt;","",'Q 2'!H63))</f>
        <v xml:space="preserve"> ExEA</v>
      </c>
    </row>
    <row r="202" spans="1:7" x14ac:dyDescent="0.3">
      <c r="A202" t="s">
        <v>1779</v>
      </c>
      <c r="B202" t="s">
        <v>1780</v>
      </c>
      <c r="C202">
        <v>11</v>
      </c>
      <c r="D202" t="s">
        <v>1447</v>
      </c>
      <c r="E202" t="s">
        <v>1782</v>
      </c>
      <c r="F202" t="s">
        <v>1741</v>
      </c>
      <c r="G202" t="str">
        <f>IF(ISBLANK('Q 2'!H64),"",IF('Q 2'!H64="&lt;please select&gt;","",'Q 2'!H64))</f>
        <v>ExEA</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Ministry of Environment and Water</v>
      </c>
    </row>
    <row r="212" spans="1:11" x14ac:dyDescent="0.3">
      <c r="A212" t="s">
        <v>1784</v>
      </c>
      <c r="B212" t="s">
        <v>1785</v>
      </c>
      <c r="C212">
        <v>0</v>
      </c>
      <c r="D212" t="s">
        <v>1447</v>
      </c>
      <c r="E212" t="s">
        <v>1787</v>
      </c>
      <c r="F212" t="s">
        <v>1741</v>
      </c>
      <c r="G212" t="str">
        <f>IF(ISBLANK('Q 2'!$G$82),"",IF('Q 2'!$G$82="&lt;please select&gt;","",'Q 2'!$G$82))</f>
        <v>MOEW</v>
      </c>
    </row>
    <row r="213" spans="1:11" x14ac:dyDescent="0.3">
      <c r="A213" t="s">
        <v>1784</v>
      </c>
      <c r="B213" t="s">
        <v>1788</v>
      </c>
      <c r="C213">
        <v>1</v>
      </c>
      <c r="D213" t="s">
        <v>1447</v>
      </c>
      <c r="E213" t="s">
        <v>1789</v>
      </c>
      <c r="F213" t="s">
        <v>1759</v>
      </c>
      <c r="K213" t="str">
        <f>IF(ISBLANK('Q 2'!G86),"",IF('Q 2'!G86="&lt;please select&gt;","",'Q 2'!G86))</f>
        <v>Yes</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Yes</v>
      </c>
    </row>
    <row r="216" spans="1:11" x14ac:dyDescent="0.3">
      <c r="A216" t="s">
        <v>1784</v>
      </c>
      <c r="B216" t="s">
        <v>1788</v>
      </c>
      <c r="C216">
        <v>4</v>
      </c>
      <c r="D216" t="s">
        <v>1447</v>
      </c>
      <c r="E216" t="s">
        <v>1789</v>
      </c>
      <c r="F216" t="s">
        <v>1759</v>
      </c>
      <c r="K216" t="str">
        <f>IF(ISBLANK('Q 2'!G89),"",IF('Q 2'!G89="&lt;please select&gt;","",'Q 2'!G89))</f>
        <v>Yes</v>
      </c>
    </row>
    <row r="217" spans="1:11" x14ac:dyDescent="0.3">
      <c r="A217" t="s">
        <v>1784</v>
      </c>
      <c r="B217" t="s">
        <v>1788</v>
      </c>
      <c r="C217">
        <v>5</v>
      </c>
      <c r="D217" t="s">
        <v>1447</v>
      </c>
      <c r="E217" t="s">
        <v>1789</v>
      </c>
      <c r="F217" t="s">
        <v>1759</v>
      </c>
      <c r="K217" t="str">
        <f>IF(ISBLANK('Q 2'!G90),"",IF('Q 2'!G90="&lt;please select&gt;","",'Q 2'!G90))</f>
        <v>Yes</v>
      </c>
    </row>
    <row r="218" spans="1:11" x14ac:dyDescent="0.3">
      <c r="A218" t="s">
        <v>1784</v>
      </c>
      <c r="B218" t="s">
        <v>1788</v>
      </c>
      <c r="C218">
        <v>6</v>
      </c>
      <c r="D218" t="s">
        <v>1447</v>
      </c>
      <c r="E218" t="s">
        <v>1789</v>
      </c>
      <c r="F218" t="s">
        <v>1759</v>
      </c>
      <c r="K218" t="str">
        <f>IF(ISBLANK('Q 2'!G91),"",IF('Q 2'!G91="&lt;please select&gt;","",'Q 2'!G91))</f>
        <v>Yes</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No</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
      </c>
    </row>
    <row r="241" spans="1:11" x14ac:dyDescent="0.3">
      <c r="A241" t="s">
        <v>1792</v>
      </c>
      <c r="B241" t="s">
        <v>1793</v>
      </c>
      <c r="C241">
        <v>2</v>
      </c>
      <c r="D241" t="s">
        <v>1447</v>
      </c>
      <c r="E241" t="s">
        <v>1795</v>
      </c>
      <c r="F241" t="s">
        <v>1791</v>
      </c>
      <c r="J241" t="str">
        <f>IF(ISBLANK('Q 2'!H101),"",IF('Q 2'!H101="&lt;please select&gt;","",'Q 2'!H101))</f>
        <v>CA's representatives participate in the Technical Committee, managed by NAB</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109</v>
      </c>
    </row>
    <row r="248" spans="1:11" x14ac:dyDescent="0.3">
      <c r="A248" t="s">
        <v>1796</v>
      </c>
      <c r="B248" t="s">
        <v>1797</v>
      </c>
      <c r="C248">
        <v>2</v>
      </c>
      <c r="D248" t="s">
        <v>1447</v>
      </c>
      <c r="E248" t="s">
        <v>1798</v>
      </c>
      <c r="F248" t="s">
        <v>1748</v>
      </c>
      <c r="H248" s="165" t="str">
        <f>IF(ISBLANK('Q 3'!G8),"",IF('Q 3'!G8="&lt;please select&gt;","",'Q 3'!G8))</f>
        <v>66</v>
      </c>
    </row>
    <row r="249" spans="1:11" x14ac:dyDescent="0.3">
      <c r="A249" t="s">
        <v>1796</v>
      </c>
      <c r="B249" t="s">
        <v>1797</v>
      </c>
      <c r="C249">
        <v>3</v>
      </c>
      <c r="D249" t="s">
        <v>1447</v>
      </c>
      <c r="E249" t="s">
        <v>1798</v>
      </c>
      <c r="F249" t="s">
        <v>1748</v>
      </c>
      <c r="H249" s="165" t="str">
        <f>IF(ISBLANK('Q 3'!G9),"",IF('Q 3'!G9="&lt;please select&gt;","",'Q 3'!G9))</f>
        <v>28</v>
      </c>
    </row>
    <row r="250" spans="1:11" x14ac:dyDescent="0.3">
      <c r="A250" t="s">
        <v>1796</v>
      </c>
      <c r="B250" t="s">
        <v>1797</v>
      </c>
      <c r="C250">
        <v>4</v>
      </c>
      <c r="D250" t="s">
        <v>1447</v>
      </c>
      <c r="E250" t="s">
        <v>1798</v>
      </c>
      <c r="F250" t="s">
        <v>1748</v>
      </c>
      <c r="H250" s="165" t="str">
        <f>IF(ISBLANK('Q 3'!G10),"",IF('Q 3'!G10="&lt;please select&gt;","",'Q 3'!G10))</f>
        <v>15</v>
      </c>
    </row>
    <row r="251" spans="1:11" x14ac:dyDescent="0.3">
      <c r="A251" t="s">
        <v>1796</v>
      </c>
      <c r="B251" t="s">
        <v>1797</v>
      </c>
      <c r="C251">
        <v>5</v>
      </c>
      <c r="D251" t="s">
        <v>1447</v>
      </c>
      <c r="E251" t="s">
        <v>1798</v>
      </c>
      <c r="F251" t="s">
        <v>1748</v>
      </c>
      <c r="H251" s="165" t="str">
        <f>IF(ISBLANK('Q 3'!G11),"",IF('Q 3'!G11="&lt;please select&gt;","",'Q 3'!G11))</f>
        <v>54</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No</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Yes</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Yes</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3</v>
      </c>
    </row>
    <row r="293" spans="1:11" x14ac:dyDescent="0.3">
      <c r="A293" t="s">
        <v>1811</v>
      </c>
      <c r="B293" t="s">
        <v>1812</v>
      </c>
      <c r="C293">
        <v>2</v>
      </c>
      <c r="D293" t="s">
        <v>1447</v>
      </c>
      <c r="E293" t="s">
        <v>1813</v>
      </c>
      <c r="F293" t="s">
        <v>1748</v>
      </c>
      <c r="H293" s="165" t="str">
        <f>IF(ISBLANK('Q 3'!G65),"",IF('Q 3'!G65="&lt;please select&gt;","",'Q 3'!G65))</f>
        <v>1</v>
      </c>
    </row>
    <row r="294" spans="1:11" x14ac:dyDescent="0.3">
      <c r="A294" t="s">
        <v>1811</v>
      </c>
      <c r="B294" t="s">
        <v>1812</v>
      </c>
      <c r="C294">
        <v>3</v>
      </c>
      <c r="D294" t="s">
        <v>1447</v>
      </c>
      <c r="E294" t="s">
        <v>1813</v>
      </c>
      <c r="F294" t="s">
        <v>1748</v>
      </c>
      <c r="H294" s="165" t="str">
        <f>IF(ISBLANK('Q 3'!G66),"",IF('Q 3'!G66="&lt;please select&gt;","",'Q 3'!G66))</f>
        <v>4</v>
      </c>
    </row>
    <row r="295" spans="1:11" x14ac:dyDescent="0.3">
      <c r="A295" t="s">
        <v>1811</v>
      </c>
      <c r="B295" t="s">
        <v>1812</v>
      </c>
      <c r="C295">
        <v>1</v>
      </c>
      <c r="D295" t="s">
        <v>1447</v>
      </c>
      <c r="E295" t="s">
        <v>1814</v>
      </c>
      <c r="F295" t="s">
        <v>1748</v>
      </c>
      <c r="H295" s="165" t="str">
        <f>IF(ISBLANK('Q 3'!H64),"",IF('Q 3'!H64="&lt;please select&gt;","",'Q 3'!H64))</f>
        <v/>
      </c>
    </row>
    <row r="296" spans="1:11" x14ac:dyDescent="0.3">
      <c r="A296" t="s">
        <v>1811</v>
      </c>
      <c r="B296" t="s">
        <v>1812</v>
      </c>
      <c r="C296">
        <v>2</v>
      </c>
      <c r="D296" t="s">
        <v>1447</v>
      </c>
      <c r="E296" t="s">
        <v>1814</v>
      </c>
      <c r="F296" t="s">
        <v>1748</v>
      </c>
      <c r="H296" s="165" t="str">
        <f>IF(ISBLANK('Q 3'!H65),"",IF('Q 3'!H65="&lt;please select&gt;","",'Q 3'!H65))</f>
        <v/>
      </c>
    </row>
    <row r="297" spans="1:11" x14ac:dyDescent="0.3">
      <c r="A297" t="s">
        <v>1811</v>
      </c>
      <c r="B297" t="s">
        <v>1812</v>
      </c>
      <c r="C297">
        <v>3</v>
      </c>
      <c r="D297" t="s">
        <v>1447</v>
      </c>
      <c r="E297" t="s">
        <v>1814</v>
      </c>
      <c r="F297" t="s">
        <v>1748</v>
      </c>
      <c r="H297" s="165" t="str">
        <f>IF(ISBLANK('Q 3'!H66),"",IF('Q 3'!H66="&lt;please select&gt;","",'Q 3'!H66))</f>
        <v/>
      </c>
    </row>
    <row r="298" spans="1:11" x14ac:dyDescent="0.3">
      <c r="A298" t="s">
        <v>1811</v>
      </c>
      <c r="B298" t="s">
        <v>1812</v>
      </c>
      <c r="C298">
        <v>1</v>
      </c>
      <c r="D298" t="s">
        <v>1447</v>
      </c>
      <c r="E298" t="s">
        <v>1815</v>
      </c>
      <c r="F298" t="s">
        <v>1748</v>
      </c>
      <c r="H298" s="165" t="str">
        <f>IF(ISBLANK('Q 3'!I64),"",IF('Q 3'!I64="&lt;please select&gt;","",'Q 3'!I64))</f>
        <v>3</v>
      </c>
    </row>
    <row r="299" spans="1:11" x14ac:dyDescent="0.3">
      <c r="A299" t="s">
        <v>1811</v>
      </c>
      <c r="B299" t="s">
        <v>1812</v>
      </c>
      <c r="C299">
        <v>2</v>
      </c>
      <c r="D299" t="s">
        <v>1447</v>
      </c>
      <c r="E299" t="s">
        <v>1815</v>
      </c>
      <c r="F299" t="s">
        <v>1748</v>
      </c>
      <c r="H299" s="165" t="str">
        <f>IF(ISBLANK('Q 3'!I65),"",IF('Q 3'!I65="&lt;please select&gt;","",'Q 3'!I65))</f>
        <v>1</v>
      </c>
    </row>
    <row r="300" spans="1:11" x14ac:dyDescent="0.3">
      <c r="A300" t="s">
        <v>1811</v>
      </c>
      <c r="B300" t="s">
        <v>1812</v>
      </c>
      <c r="C300">
        <v>3</v>
      </c>
      <c r="D300" t="s">
        <v>1447</v>
      </c>
      <c r="E300" t="s">
        <v>1815</v>
      </c>
      <c r="F300" t="s">
        <v>1748</v>
      </c>
      <c r="H300" s="165" t="str">
        <f>IF(ISBLANK('Q 3'!I66),"",IF('Q 3'!I66="&lt;please select&gt;","",'Q 3'!I66))</f>
        <v>4</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When can permits be withdrawn by the competent authority? Cessation of operation; non-compliance with permit conditions; decrease of capacity under the threshold</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The permit is updated in any case of change in the installed capacity</v>
      </c>
    </row>
    <row r="320" spans="1:11" x14ac:dyDescent="0.3">
      <c r="A320" t="s">
        <v>1820</v>
      </c>
      <c r="B320" t="s">
        <v>1821</v>
      </c>
      <c r="C320">
        <v>4</v>
      </c>
      <c r="D320" t="s">
        <v>1447</v>
      </c>
      <c r="E320" t="s">
        <v>1822</v>
      </c>
      <c r="F320" t="s">
        <v>1741</v>
      </c>
      <c r="G320" t="str">
        <f>IF(ISBLANK('Q 4'!G22),"",IF('Q 4'!G22="&lt;please select&gt;","",'Q 4'!G22))</f>
        <v>The permit is updated in any case of change in the installed capacity</v>
      </c>
    </row>
    <row r="321" spans="1:11" x14ac:dyDescent="0.3">
      <c r="A321" t="s">
        <v>1820</v>
      </c>
      <c r="B321" t="s">
        <v>1821</v>
      </c>
      <c r="C321">
        <v>5</v>
      </c>
      <c r="D321" t="s">
        <v>1447</v>
      </c>
      <c r="E321" t="s">
        <v>1822</v>
      </c>
      <c r="F321" t="s">
        <v>1741</v>
      </c>
      <c r="G321" t="str">
        <f>IF(ISBLANK('Q 4'!G23),"",IF('Q 4'!G23="&lt;please select&gt;","",'Q 4'!G23))</f>
        <v>In accordance with Art. 15 (3) of COMMISSION IMPLEMENTING REGULATION (EU) 2018/2066</v>
      </c>
    </row>
    <row r="322" spans="1:11" x14ac:dyDescent="0.3">
      <c r="A322" t="s">
        <v>1820</v>
      </c>
      <c r="B322" t="s">
        <v>1821</v>
      </c>
      <c r="C322">
        <v>6</v>
      </c>
      <c r="D322" t="s">
        <v>1447</v>
      </c>
      <c r="E322" t="s">
        <v>1822</v>
      </c>
      <c r="F322" t="s">
        <v>1741</v>
      </c>
      <c r="G322" t="str">
        <f>IF(ISBLANK('Q 4'!G24),"",IF('Q 4'!G24="&lt;please select&gt;","",'Q 4'!G24))</f>
        <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5</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In 2013 a new Climate Change Mitigation Act has been adopted (amended SG, 20/03/2020) Other more specific requirements are listed in: 1) Ordinance on the manner of issuing and reviewing GHGs emissions permits of installations and monitoring by operators and aircraft operators, participating in the EU ETS (SG, 27/11/2020) 2) Ordinance for the conditions and terms for reporting and verification of reports of the operators of installations and aircraft operators (SG, 09/09/2014) 3) Ordinance for the order and manner of administration of the national registry for GHG emission allowances trade (SG, 05/01/2018)</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
      </c>
    </row>
    <row r="332" spans="1:11" x14ac:dyDescent="0.3">
      <c r="A332" t="s">
        <v>1829</v>
      </c>
      <c r="B332" t="s">
        <v>1830</v>
      </c>
      <c r="C332">
        <v>2</v>
      </c>
      <c r="D332" t="s">
        <v>1447</v>
      </c>
      <c r="E332" t="s">
        <v>1831</v>
      </c>
      <c r="F332" t="s">
        <v>1759</v>
      </c>
      <c r="K332" t="str">
        <f>IF(ISBLANK('Q 5'!G17),"",IF('Q 5'!G17="&lt;please select&gt;","",'Q 5'!G17))</f>
        <v/>
      </c>
    </row>
    <row r="333" spans="1:11" x14ac:dyDescent="0.3">
      <c r="A333" t="s">
        <v>1829</v>
      </c>
      <c r="B333" t="s">
        <v>1830</v>
      </c>
      <c r="C333">
        <v>3</v>
      </c>
      <c r="D333" t="s">
        <v>1447</v>
      </c>
      <c r="E333" t="s">
        <v>1831</v>
      </c>
      <c r="F333" t="s">
        <v>1759</v>
      </c>
      <c r="K333" t="str">
        <f>IF(ISBLANK('Q 5'!G18),"",IF('Q 5'!G18="&lt;please select&gt;","",'Q 5'!G18))</f>
        <v/>
      </c>
    </row>
    <row r="334" spans="1:11" x14ac:dyDescent="0.3">
      <c r="A334" t="s">
        <v>1829</v>
      </c>
      <c r="B334" t="s">
        <v>1830</v>
      </c>
      <c r="C334">
        <v>4</v>
      </c>
      <c r="D334" t="s">
        <v>1447</v>
      </c>
      <c r="E334" t="s">
        <v>1831</v>
      </c>
      <c r="F334" t="s">
        <v>1759</v>
      </c>
      <c r="K334" t="str">
        <f>IF(ISBLANK('Q 5'!G19),"",IF('Q 5'!G19="&lt;please select&gt;","",'Q 5'!G19))</f>
        <v/>
      </c>
    </row>
    <row r="335" spans="1:11" x14ac:dyDescent="0.3">
      <c r="A335" t="s">
        <v>1829</v>
      </c>
      <c r="B335" t="s">
        <v>1830</v>
      </c>
      <c r="C335">
        <v>5</v>
      </c>
      <c r="D335" t="s">
        <v>1447</v>
      </c>
      <c r="E335" t="s">
        <v>1831</v>
      </c>
      <c r="F335" t="s">
        <v>1759</v>
      </c>
      <c r="K335" t="str">
        <f>IF(ISBLANK('Q 5'!G20),"",IF('Q 5'!G20="&lt;please select&gt;","",'Q 5'!G20))</f>
        <v/>
      </c>
    </row>
    <row r="336" spans="1:11" x14ac:dyDescent="0.3">
      <c r="A336" t="s">
        <v>1829</v>
      </c>
      <c r="B336" t="s">
        <v>1830</v>
      </c>
      <c r="C336">
        <v>6</v>
      </c>
      <c r="D336" t="s">
        <v>1447</v>
      </c>
      <c r="E336" t="s">
        <v>1831</v>
      </c>
      <c r="F336" t="s">
        <v>1759</v>
      </c>
      <c r="K336" t="str">
        <f>IF(ISBLANK('Q 5'!G21),"",IF('Q 5'!G21="&lt;please select&gt;","",'Q 5'!G21))</f>
        <v/>
      </c>
    </row>
    <row r="337" spans="1:11" x14ac:dyDescent="0.3">
      <c r="A337" t="s">
        <v>1829</v>
      </c>
      <c r="B337" t="s">
        <v>1830</v>
      </c>
      <c r="C337">
        <v>7</v>
      </c>
      <c r="D337" t="s">
        <v>1447</v>
      </c>
      <c r="E337" t="s">
        <v>1831</v>
      </c>
      <c r="F337" t="s">
        <v>1759</v>
      </c>
      <c r="K337" t="str">
        <f>IF(ISBLANK('Q 5'!G22),"",IF('Q 5'!G22="&lt;please select&gt;","",'Q 5'!G22))</f>
        <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12425.228608062</v>
      </c>
    </row>
    <row r="366" spans="1:11" x14ac:dyDescent="0.3">
      <c r="A366" t="s">
        <v>1843</v>
      </c>
      <c r="B366" t="s">
        <v>1844</v>
      </c>
      <c r="C366">
        <v>2</v>
      </c>
      <c r="D366" t="s">
        <v>1447</v>
      </c>
      <c r="E366" t="s">
        <v>1845</v>
      </c>
      <c r="F366" t="s">
        <v>1806</v>
      </c>
      <c r="I366" t="str">
        <f>IF(ISBLANK('Q 5'!F54),"",IF('Q 5'!F54="&lt;please select&gt;","",'Q 5'!F54))</f>
        <v>180181.997262649</v>
      </c>
    </row>
    <row r="367" spans="1:11" x14ac:dyDescent="0.3">
      <c r="A367" t="s">
        <v>1843</v>
      </c>
      <c r="B367" t="s">
        <v>1844</v>
      </c>
      <c r="C367">
        <v>3</v>
      </c>
      <c r="D367" t="s">
        <v>1447</v>
      </c>
      <c r="E367" t="s">
        <v>1845</v>
      </c>
      <c r="F367" t="s">
        <v>1806</v>
      </c>
      <c r="I367" t="str">
        <f>IF(ISBLANK('Q 5'!F55),"",IF('Q 5'!F55="&lt;please select&gt;","",'Q 5'!F55))</f>
        <v>0</v>
      </c>
    </row>
    <row r="368" spans="1:11" x14ac:dyDescent="0.3">
      <c r="A368" t="s">
        <v>1843</v>
      </c>
      <c r="B368" t="s">
        <v>1844</v>
      </c>
      <c r="C368">
        <v>4</v>
      </c>
      <c r="D368" t="s">
        <v>1447</v>
      </c>
      <c r="E368" t="s">
        <v>1845</v>
      </c>
      <c r="F368" t="s">
        <v>1806</v>
      </c>
      <c r="I368" t="str">
        <f>IF(ISBLANK('Q 5'!F56),"",IF('Q 5'!F56="&lt;please select&gt;","",'Q 5'!F56))</f>
        <v>10055.414531028</v>
      </c>
    </row>
    <row r="369" spans="1:9" x14ac:dyDescent="0.3">
      <c r="A369" t="s">
        <v>1843</v>
      </c>
      <c r="B369" t="s">
        <v>1844</v>
      </c>
      <c r="C369">
        <v>5</v>
      </c>
      <c r="D369" t="s">
        <v>1447</v>
      </c>
      <c r="E369" t="s">
        <v>1845</v>
      </c>
      <c r="F369" t="s">
        <v>1806</v>
      </c>
      <c r="I369" t="str">
        <f>IF(ISBLANK('Q 5'!F57),"",IF('Q 5'!F57="&lt;please select&gt;","",'Q 5'!F57))</f>
        <v>73600.4078773544</v>
      </c>
    </row>
    <row r="370" spans="1:9" x14ac:dyDescent="0.3">
      <c r="A370" t="s">
        <v>1843</v>
      </c>
      <c r="B370" t="s">
        <v>1844</v>
      </c>
      <c r="C370">
        <v>6</v>
      </c>
      <c r="D370" t="s">
        <v>1447</v>
      </c>
      <c r="E370" t="s">
        <v>1845</v>
      </c>
      <c r="F370" t="s">
        <v>1806</v>
      </c>
      <c r="I370" t="str">
        <f>IF(ISBLANK('Q 5'!F58),"",IF('Q 5'!F58="&lt;please select&gt;","",'Q 5'!F58))</f>
        <v>0</v>
      </c>
    </row>
    <row r="371" spans="1:9" x14ac:dyDescent="0.3">
      <c r="A371" t="s">
        <v>1843</v>
      </c>
      <c r="B371" t="s">
        <v>1844</v>
      </c>
      <c r="C371">
        <v>7</v>
      </c>
      <c r="D371" t="s">
        <v>1447</v>
      </c>
      <c r="E371" t="s">
        <v>1845</v>
      </c>
      <c r="F371" t="s">
        <v>1806</v>
      </c>
      <c r="I371" t="str">
        <f>IF(ISBLANK('Q 5'!F59),"",IF('Q 5'!F59="&lt;please select&gt;","",'Q 5'!F59))</f>
        <v>0</v>
      </c>
    </row>
    <row r="372" spans="1:9" x14ac:dyDescent="0.3">
      <c r="A372" t="s">
        <v>1843</v>
      </c>
      <c r="B372" t="s">
        <v>1844</v>
      </c>
      <c r="C372">
        <v>8</v>
      </c>
      <c r="D372" t="s">
        <v>1447</v>
      </c>
      <c r="E372" t="s">
        <v>1845</v>
      </c>
      <c r="F372" t="s">
        <v>1806</v>
      </c>
      <c r="I372" t="str">
        <f>IF(ISBLANK('Q 5'!F60),"",IF('Q 5'!F60="&lt;please select&gt;","",'Q 5'!F60))</f>
        <v>14629.268840243</v>
      </c>
    </row>
    <row r="373" spans="1:9" x14ac:dyDescent="0.3">
      <c r="A373" t="s">
        <v>1843</v>
      </c>
      <c r="B373" t="s">
        <v>1844</v>
      </c>
      <c r="C373">
        <v>9</v>
      </c>
      <c r="D373" t="s">
        <v>1447</v>
      </c>
      <c r="E373" t="s">
        <v>1845</v>
      </c>
      <c r="F373" t="s">
        <v>1806</v>
      </c>
      <c r="I373" t="str">
        <f>IF(ISBLANK('Q 5'!F61),"",IF('Q 5'!F61="&lt;please select&gt;","",'Q 5'!F61))</f>
        <v>1535.680554</v>
      </c>
    </row>
    <row r="374" spans="1:9" x14ac:dyDescent="0.3">
      <c r="A374" t="s">
        <v>1843</v>
      </c>
      <c r="B374" t="s">
        <v>1844</v>
      </c>
      <c r="C374">
        <v>10</v>
      </c>
      <c r="D374" t="s">
        <v>1447</v>
      </c>
      <c r="E374" t="s">
        <v>1845</v>
      </c>
      <c r="F374" t="s">
        <v>1806</v>
      </c>
      <c r="I374" t="str">
        <f>IF(ISBLANK('Q 5'!F62),"",IF('Q 5'!F62="&lt;please select&gt;","",'Q 5'!F62))</f>
        <v>0</v>
      </c>
    </row>
    <row r="375" spans="1:9" x14ac:dyDescent="0.3">
      <c r="A375" t="s">
        <v>1843</v>
      </c>
      <c r="B375" t="s">
        <v>1844</v>
      </c>
      <c r="C375">
        <v>11</v>
      </c>
      <c r="D375" t="s">
        <v>1447</v>
      </c>
      <c r="E375" t="s">
        <v>1845</v>
      </c>
      <c r="F375" t="s">
        <v>1806</v>
      </c>
      <c r="I375" t="str">
        <f>IF(ISBLANK('Q 5'!F63),"",IF('Q 5'!F63="&lt;please select&gt;","",'Q 5'!F63))</f>
        <v>8.6177737</v>
      </c>
    </row>
    <row r="376" spans="1:9" x14ac:dyDescent="0.3">
      <c r="A376" t="s">
        <v>1843</v>
      </c>
      <c r="B376" t="s">
        <v>1844</v>
      </c>
      <c r="C376">
        <v>12</v>
      </c>
      <c r="D376" t="s">
        <v>1447</v>
      </c>
      <c r="E376" t="s">
        <v>1845</v>
      </c>
      <c r="F376" t="s">
        <v>1806</v>
      </c>
      <c r="I376" t="str">
        <f>IF(ISBLANK('Q 5'!F64),"",IF('Q 5'!F64="&lt;please select&gt;","",'Q 5'!F64))</f>
        <v>246.98982959948</v>
      </c>
    </row>
    <row r="377" spans="1:9" x14ac:dyDescent="0.3">
      <c r="A377" t="s">
        <v>1843</v>
      </c>
      <c r="B377" t="s">
        <v>1844</v>
      </c>
      <c r="C377">
        <v>1</v>
      </c>
      <c r="D377" t="s">
        <v>1447</v>
      </c>
      <c r="E377" t="s">
        <v>1848</v>
      </c>
      <c r="F377" t="s">
        <v>1806</v>
      </c>
      <c r="I377" t="str">
        <f>IF(ISBLANK('Q 5'!H53),"",IF('Q 5'!H53="&lt;please select&gt;","",'Q 5'!H53))</f>
        <v>1148932</v>
      </c>
    </row>
    <row r="378" spans="1:9" x14ac:dyDescent="0.3">
      <c r="A378" t="s">
        <v>1843</v>
      </c>
      <c r="B378" t="s">
        <v>1844</v>
      </c>
      <c r="C378">
        <v>2</v>
      </c>
      <c r="D378" t="s">
        <v>1447</v>
      </c>
      <c r="E378" t="s">
        <v>1848</v>
      </c>
      <c r="F378" t="s">
        <v>1806</v>
      </c>
      <c r="I378" t="str">
        <f>IF(ISBLANK('Q 5'!H54),"",IF('Q 5'!H54="&lt;please select&gt;","",'Q 5'!H54))</f>
        <v>18033224.44</v>
      </c>
    </row>
    <row r="379" spans="1:9" x14ac:dyDescent="0.3">
      <c r="A379" t="s">
        <v>1843</v>
      </c>
      <c r="B379" t="s">
        <v>1844</v>
      </c>
      <c r="C379">
        <v>3</v>
      </c>
      <c r="D379" t="s">
        <v>1447</v>
      </c>
      <c r="E379" t="s">
        <v>1848</v>
      </c>
      <c r="F379" t="s">
        <v>1806</v>
      </c>
      <c r="I379" t="str">
        <f>IF(ISBLANK('Q 5'!H55),"",IF('Q 5'!H55="&lt;please select&gt;","",'Q 5'!H55))</f>
        <v>0</v>
      </c>
    </row>
    <row r="380" spans="1:9" x14ac:dyDescent="0.3">
      <c r="A380" t="s">
        <v>1843</v>
      </c>
      <c r="B380" t="s">
        <v>1844</v>
      </c>
      <c r="C380">
        <v>4</v>
      </c>
      <c r="D380" t="s">
        <v>1447</v>
      </c>
      <c r="E380" t="s">
        <v>1848</v>
      </c>
      <c r="F380" t="s">
        <v>1806</v>
      </c>
      <c r="I380" t="str">
        <f>IF(ISBLANK('Q 5'!H56),"",IF('Q 5'!H56="&lt;please select&gt;","",'Q 5'!H56))</f>
        <v>946841.865</v>
      </c>
    </row>
    <row r="381" spans="1:9" x14ac:dyDescent="0.3">
      <c r="A381" t="s">
        <v>1843</v>
      </c>
      <c r="B381" t="s">
        <v>1844</v>
      </c>
      <c r="C381">
        <v>5</v>
      </c>
      <c r="D381" t="s">
        <v>1447</v>
      </c>
      <c r="E381" t="s">
        <v>1848</v>
      </c>
      <c r="F381" t="s">
        <v>1806</v>
      </c>
      <c r="I381" t="str">
        <f>IF(ISBLANK('Q 5'!H57),"",IF('Q 5'!H57="&lt;please select&gt;","",'Q 5'!H57))</f>
        <v>4162208</v>
      </c>
    </row>
    <row r="382" spans="1:9" x14ac:dyDescent="0.3">
      <c r="A382" t="s">
        <v>1843</v>
      </c>
      <c r="B382" t="s">
        <v>1844</v>
      </c>
      <c r="C382">
        <v>6</v>
      </c>
      <c r="D382" t="s">
        <v>1447</v>
      </c>
      <c r="E382" t="s">
        <v>1848</v>
      </c>
      <c r="F382" t="s">
        <v>1806</v>
      </c>
      <c r="I382" t="str">
        <f>IF(ISBLANK('Q 5'!H58),"",IF('Q 5'!H58="&lt;please select&gt;","",'Q 5'!H58))</f>
        <v>0</v>
      </c>
    </row>
    <row r="383" spans="1:9" x14ac:dyDescent="0.3">
      <c r="A383" t="s">
        <v>1843</v>
      </c>
      <c r="B383" t="s">
        <v>1844</v>
      </c>
      <c r="C383">
        <v>7</v>
      </c>
      <c r="D383" t="s">
        <v>1447</v>
      </c>
      <c r="E383" t="s">
        <v>1848</v>
      </c>
      <c r="F383" t="s">
        <v>1806</v>
      </c>
      <c r="I383" t="str">
        <f>IF(ISBLANK('Q 5'!H59),"",IF('Q 5'!H59="&lt;please select&gt;","",'Q 5'!H59))</f>
        <v>0</v>
      </c>
    </row>
    <row r="384" spans="1:9" x14ac:dyDescent="0.3">
      <c r="A384" t="s">
        <v>1843</v>
      </c>
      <c r="B384" t="s">
        <v>1844</v>
      </c>
      <c r="C384">
        <v>8</v>
      </c>
      <c r="D384" t="s">
        <v>1447</v>
      </c>
      <c r="E384" t="s">
        <v>1848</v>
      </c>
      <c r="F384" t="s">
        <v>1806</v>
      </c>
      <c r="I384" t="str">
        <f>IF(ISBLANK('Q 5'!H60),"",IF('Q 5'!H60="&lt;please select&gt;","",'Q 5'!H60))</f>
        <v>843962.2</v>
      </c>
    </row>
    <row r="385" spans="1:11" x14ac:dyDescent="0.3">
      <c r="A385" t="s">
        <v>1843</v>
      </c>
      <c r="B385" t="s">
        <v>1844</v>
      </c>
      <c r="C385">
        <v>9</v>
      </c>
      <c r="D385" t="s">
        <v>1447</v>
      </c>
      <c r="E385" t="s">
        <v>1848</v>
      </c>
      <c r="F385" t="s">
        <v>1806</v>
      </c>
      <c r="I385" t="str">
        <f>IF(ISBLANK('Q 5'!H61),"",IF('Q 5'!H61="&lt;please select&gt;","",'Q 5'!H61))</f>
        <v>118862.803</v>
      </c>
    </row>
    <row r="386" spans="1:11" x14ac:dyDescent="0.3">
      <c r="A386" t="s">
        <v>1843</v>
      </c>
      <c r="B386" t="s">
        <v>1844</v>
      </c>
      <c r="C386">
        <v>10</v>
      </c>
      <c r="D386" t="s">
        <v>1447</v>
      </c>
      <c r="E386" t="s">
        <v>1848</v>
      </c>
      <c r="F386" t="s">
        <v>1806</v>
      </c>
      <c r="I386" t="str">
        <f>IF(ISBLANK('Q 5'!H62),"",IF('Q 5'!H62="&lt;please select&gt;","",'Q 5'!H62))</f>
        <v>0</v>
      </c>
    </row>
    <row r="387" spans="1:11" x14ac:dyDescent="0.3">
      <c r="A387" t="s">
        <v>1843</v>
      </c>
      <c r="B387" t="s">
        <v>1844</v>
      </c>
      <c r="C387">
        <v>11</v>
      </c>
      <c r="D387" t="s">
        <v>1447</v>
      </c>
      <c r="E387" t="s">
        <v>1848</v>
      </c>
      <c r="F387" t="s">
        <v>1806</v>
      </c>
      <c r="I387" t="str">
        <f>IF(ISBLANK('Q 5'!H63),"",IF('Q 5'!H63="&lt;please select&gt;","",'Q 5'!H63))</f>
        <v>807.5</v>
      </c>
    </row>
    <row r="388" spans="1:11" x14ac:dyDescent="0.3">
      <c r="A388" t="s">
        <v>1843</v>
      </c>
      <c r="B388" t="s">
        <v>1844</v>
      </c>
      <c r="C388">
        <v>12</v>
      </c>
      <c r="D388" t="s">
        <v>1447</v>
      </c>
      <c r="E388" t="s">
        <v>1848</v>
      </c>
      <c r="F388" t="s">
        <v>1806</v>
      </c>
      <c r="I388" t="str">
        <f>IF(ISBLANK('Q 5'!H64),"",IF('Q 5'!H64="&lt;please select&gt;","",'Q 5'!H64))</f>
        <v>18303.436</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1A1b - Energy - Petroleum Refining</v>
      </c>
    </row>
    <row r="391" spans="1:11" x14ac:dyDescent="0.3">
      <c r="A391" t="s">
        <v>1846</v>
      </c>
      <c r="B391" t="s">
        <v>1849</v>
      </c>
      <c r="C391">
        <v>3</v>
      </c>
      <c r="D391" t="s">
        <v>1447</v>
      </c>
      <c r="E391" t="s">
        <v>1850</v>
      </c>
      <c r="F391" t="s">
        <v>1737</v>
      </c>
      <c r="K391" t="str">
        <f>IF(ISBLANK('Q 5'!C71),"",IF('Q 5'!C71="&lt;please select&gt;","",'Q 5'!C71))</f>
        <v>1A2a - Energy - Iron and Steel</v>
      </c>
    </row>
    <row r="392" spans="1:11" x14ac:dyDescent="0.3">
      <c r="A392" t="s">
        <v>1846</v>
      </c>
      <c r="B392" t="s">
        <v>1849</v>
      </c>
      <c r="C392">
        <v>4</v>
      </c>
      <c r="D392" t="s">
        <v>1447</v>
      </c>
      <c r="E392" t="s">
        <v>1850</v>
      </c>
      <c r="F392" t="s">
        <v>1737</v>
      </c>
      <c r="K392" t="str">
        <f>IF(ISBLANK('Q 5'!C72),"",IF('Q 5'!C72="&lt;please select&gt;","",'Q 5'!C72))</f>
        <v>1A2b - Energy - Non-Ferrous Metals</v>
      </c>
    </row>
    <row r="393" spans="1:11" x14ac:dyDescent="0.3">
      <c r="A393" t="s">
        <v>1846</v>
      </c>
      <c r="B393" t="s">
        <v>1849</v>
      </c>
      <c r="C393">
        <v>5</v>
      </c>
      <c r="D393" t="s">
        <v>1447</v>
      </c>
      <c r="E393" t="s">
        <v>1850</v>
      </c>
      <c r="F393" t="s">
        <v>1737</v>
      </c>
      <c r="K393" t="str">
        <f>IF(ISBLANK('Q 5'!C73),"",IF('Q 5'!C73="&lt;please select&gt;","",'Q 5'!C73))</f>
        <v>1A2c - Energy - Chemicals</v>
      </c>
    </row>
    <row r="394" spans="1:11" x14ac:dyDescent="0.3">
      <c r="A394" t="s">
        <v>1846</v>
      </c>
      <c r="B394" t="s">
        <v>1849</v>
      </c>
      <c r="C394">
        <v>6</v>
      </c>
      <c r="D394" t="s">
        <v>1447</v>
      </c>
      <c r="E394" t="s">
        <v>1850</v>
      </c>
      <c r="F394" t="s">
        <v>1737</v>
      </c>
      <c r="K394" t="str">
        <f>IF(ISBLANK('Q 5'!C74),"",IF('Q 5'!C74="&lt;please select&gt;","",'Q 5'!C74))</f>
        <v/>
      </c>
    </row>
    <row r="395" spans="1:11" x14ac:dyDescent="0.3">
      <c r="A395" t="s">
        <v>1846</v>
      </c>
      <c r="B395" t="s">
        <v>1849</v>
      </c>
      <c r="C395">
        <v>7</v>
      </c>
      <c r="D395" t="s">
        <v>1447</v>
      </c>
      <c r="E395" t="s">
        <v>1850</v>
      </c>
      <c r="F395" t="s">
        <v>1737</v>
      </c>
      <c r="K395" t="str">
        <f>IF(ISBLANK('Q 5'!C75),"",IF('Q 5'!C75="&lt;please select&gt;","",'Q 5'!C75))</f>
        <v>1A2d - Energy - Pulp, Paper and Print</v>
      </c>
    </row>
    <row r="396" spans="1:11" x14ac:dyDescent="0.3">
      <c r="A396" t="s">
        <v>1846</v>
      </c>
      <c r="B396" t="s">
        <v>1849</v>
      </c>
      <c r="C396">
        <v>8</v>
      </c>
      <c r="D396" t="s">
        <v>1447</v>
      </c>
      <c r="E396" t="s">
        <v>1850</v>
      </c>
      <c r="F396" t="s">
        <v>1737</v>
      </c>
      <c r="K396" t="str">
        <f>IF(ISBLANK('Q 5'!C76),"",IF('Q 5'!C76="&lt;please select&gt;","",'Q 5'!C76))</f>
        <v>1A2e - Energy - Food Processing, Beverages and Tobacco</v>
      </c>
    </row>
    <row r="397" spans="1:11" x14ac:dyDescent="0.3">
      <c r="A397" t="s">
        <v>1846</v>
      </c>
      <c r="B397" t="s">
        <v>1849</v>
      </c>
      <c r="C397">
        <v>9</v>
      </c>
      <c r="D397" t="s">
        <v>1447</v>
      </c>
      <c r="E397" t="s">
        <v>1850</v>
      </c>
      <c r="F397" t="s">
        <v>1737</v>
      </c>
      <c r="K397" t="str">
        <f>IF(ISBLANK('Q 5'!C77),"",IF('Q 5'!C77="&lt;please select&gt;","",'Q 5'!C77))</f>
        <v>1A2f - Energy - Non-metallic minerals</v>
      </c>
    </row>
    <row r="398" spans="1:11" x14ac:dyDescent="0.3">
      <c r="A398" t="s">
        <v>1846</v>
      </c>
      <c r="B398" t="s">
        <v>1849</v>
      </c>
      <c r="C398">
        <v>10</v>
      </c>
      <c r="D398" t="s">
        <v>1447</v>
      </c>
      <c r="E398" t="s">
        <v>1850</v>
      </c>
      <c r="F398" t="s">
        <v>1737</v>
      </c>
      <c r="K398" t="str">
        <f>IF(ISBLANK('Q 5'!C78),"",IF('Q 5'!C78="&lt;please select&gt;","",'Q 5'!C78))</f>
        <v>1A2f - Energy - Non-metallic minerals</v>
      </c>
    </row>
    <row r="399" spans="1:11" x14ac:dyDescent="0.3">
      <c r="A399" t="s">
        <v>1846</v>
      </c>
      <c r="B399" t="s">
        <v>1849</v>
      </c>
      <c r="C399">
        <v>11</v>
      </c>
      <c r="D399" t="s">
        <v>1447</v>
      </c>
      <c r="E399" t="s">
        <v>1850</v>
      </c>
      <c r="F399" t="s">
        <v>1737</v>
      </c>
      <c r="K399" t="str">
        <f>IF(ISBLANK('Q 5'!C79),"",IF('Q 5'!C79="&lt;please select&gt;","",'Q 5'!C79))</f>
        <v>1A2f - Energy - Non-metallic minerals</v>
      </c>
    </row>
    <row r="400" spans="1:11" x14ac:dyDescent="0.3">
      <c r="A400" t="s">
        <v>1846</v>
      </c>
      <c r="B400" t="s">
        <v>1849</v>
      </c>
      <c r="C400">
        <v>12</v>
      </c>
      <c r="D400" t="s">
        <v>1447</v>
      </c>
      <c r="E400" t="s">
        <v>1850</v>
      </c>
      <c r="F400" t="s">
        <v>1737</v>
      </c>
      <c r="K400" t="str">
        <f>IF(ISBLANK('Q 5'!C80),"",IF('Q 5'!C80="&lt;please select&gt;","",'Q 5'!C80))</f>
        <v>1A2f - Energy - Non-metallic minerals</v>
      </c>
    </row>
    <row r="401" spans="1:11" x14ac:dyDescent="0.3">
      <c r="A401" t="s">
        <v>1846</v>
      </c>
      <c r="B401" t="s">
        <v>1849</v>
      </c>
      <c r="C401">
        <v>13</v>
      </c>
      <c r="D401" t="s">
        <v>1447</v>
      </c>
      <c r="E401" t="s">
        <v>1850</v>
      </c>
      <c r="F401" t="s">
        <v>1737</v>
      </c>
      <c r="K401" t="str">
        <f>IF(ISBLANK('Q 5'!C81),"",IF('Q 5'!C81="&lt;please select&gt;","",'Q 5'!C81))</f>
        <v>1A2g - Energy - Other Manufacturing Industries and Construction</v>
      </c>
    </row>
    <row r="402" spans="1:11" x14ac:dyDescent="0.3">
      <c r="A402" t="s">
        <v>1846</v>
      </c>
      <c r="B402" t="s">
        <v>1849</v>
      </c>
      <c r="C402">
        <v>14</v>
      </c>
      <c r="D402" t="s">
        <v>1447</v>
      </c>
      <c r="E402" t="s">
        <v>1850</v>
      </c>
      <c r="F402" t="s">
        <v>1737</v>
      </c>
      <c r="K402" t="str">
        <f>IF(ISBLANK('Q 5'!C82),"",IF('Q 5'!C82="&lt;please select&gt;","",'Q 5'!C82))</f>
        <v>1A5a - Energy - Other Stationary</v>
      </c>
    </row>
    <row r="403" spans="1:11" x14ac:dyDescent="0.3">
      <c r="A403" t="s">
        <v>1846</v>
      </c>
      <c r="B403" t="s">
        <v>1849</v>
      </c>
      <c r="C403">
        <v>15</v>
      </c>
      <c r="D403" t="s">
        <v>1447</v>
      </c>
      <c r="E403" t="s">
        <v>1850</v>
      </c>
      <c r="F403" t="s">
        <v>1737</v>
      </c>
      <c r="K403" t="str">
        <f>IF(ISBLANK('Q 5'!C83),"",IF('Q 5'!C83="&lt;please select&gt;","",'Q 5'!C83))</f>
        <v>1A4c - Energy - Agriculture/Forestry/Fishing</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2A4 - Process - Other Process Uses of Carbonates</v>
      </c>
    </row>
    <row r="520" spans="1:11" x14ac:dyDescent="0.3">
      <c r="A520" t="s">
        <v>1846</v>
      </c>
      <c r="B520" t="s">
        <v>1849</v>
      </c>
      <c r="C520">
        <v>2</v>
      </c>
      <c r="D520" t="s">
        <v>1447</v>
      </c>
      <c r="E520" t="s">
        <v>1851</v>
      </c>
      <c r="F520" t="s">
        <v>1737</v>
      </c>
      <c r="K520" t="str">
        <f>IF(ISBLANK('Q 5'!E70),"",IF('Q 5'!E70="&lt;please select&gt;","",'Q 5'!E70))</f>
        <v/>
      </c>
    </row>
    <row r="521" spans="1:11" x14ac:dyDescent="0.3">
      <c r="A521" t="s">
        <v>1846</v>
      </c>
      <c r="B521" t="s">
        <v>1849</v>
      </c>
      <c r="C521">
        <v>3</v>
      </c>
      <c r="D521" t="s">
        <v>1447</v>
      </c>
      <c r="E521" t="s">
        <v>1851</v>
      </c>
      <c r="F521" t="s">
        <v>1737</v>
      </c>
      <c r="K521" t="str">
        <f>IF(ISBLANK('Q 5'!E71),"",IF('Q 5'!E71="&lt;please select&gt;","",'Q 5'!E71))</f>
        <v>2C1 - Process - Iron and Steel Production</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xml:space="preserve">2B2 - Process - Nitric Acid Production </v>
      </c>
    </row>
    <row r="524" spans="1:11" x14ac:dyDescent="0.3">
      <c r="A524" t="s">
        <v>1846</v>
      </c>
      <c r="B524" t="s">
        <v>1849</v>
      </c>
      <c r="C524">
        <v>6</v>
      </c>
      <c r="D524" t="s">
        <v>1447</v>
      </c>
      <c r="E524" t="s">
        <v>1851</v>
      </c>
      <c r="F524" t="s">
        <v>1737</v>
      </c>
      <c r="K524" t="str">
        <f>IF(ISBLANK('Q 5'!E74),"",IF('Q 5'!E74="&lt;please select&gt;","",'Q 5'!E74))</f>
        <v xml:space="preserve">2B7 - Process - Soda Ash Production </v>
      </c>
    </row>
    <row r="525" spans="1:11" x14ac:dyDescent="0.3">
      <c r="A525" t="s">
        <v>1846</v>
      </c>
      <c r="B525" t="s">
        <v>1849</v>
      </c>
      <c r="C525">
        <v>7</v>
      </c>
      <c r="D525" t="s">
        <v>1447</v>
      </c>
      <c r="E525" t="s">
        <v>1851</v>
      </c>
      <c r="F525" t="s">
        <v>1737</v>
      </c>
      <c r="K525" t="str">
        <f>IF(ISBLANK('Q 5'!E75),"",IF('Q 5'!E75="&lt;please select&gt;","",'Q 5'!E75))</f>
        <v>2A2 - Process - Lime Production</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2A4 - Process - Other Process Uses of Carbonates</v>
      </c>
    </row>
    <row r="528" spans="1:11" x14ac:dyDescent="0.3">
      <c r="A528" t="s">
        <v>1846</v>
      </c>
      <c r="B528" t="s">
        <v>1849</v>
      </c>
      <c r="C528">
        <v>10</v>
      </c>
      <c r="D528" t="s">
        <v>1447</v>
      </c>
      <c r="E528" t="s">
        <v>1851</v>
      </c>
      <c r="F528" t="s">
        <v>1737</v>
      </c>
      <c r="K528" t="str">
        <f>IF(ISBLANK('Q 5'!E78),"",IF('Q 5'!E78="&lt;please select&gt;","",'Q 5'!E78))</f>
        <v>2A2 - Process - Lime Production</v>
      </c>
    </row>
    <row r="529" spans="1:11" x14ac:dyDescent="0.3">
      <c r="A529" t="s">
        <v>1846</v>
      </c>
      <c r="B529" t="s">
        <v>1849</v>
      </c>
      <c r="C529">
        <v>11</v>
      </c>
      <c r="D529" t="s">
        <v>1447</v>
      </c>
      <c r="E529" t="s">
        <v>1851</v>
      </c>
      <c r="F529" t="s">
        <v>1737</v>
      </c>
      <c r="K529" t="str">
        <f>IF(ISBLANK('Q 5'!E79),"",IF('Q 5'!E79="&lt;please select&gt;","",'Q 5'!E79))</f>
        <v>2A3 - Process - Glass production</v>
      </c>
    </row>
    <row r="530" spans="1:11" x14ac:dyDescent="0.3">
      <c r="A530" t="s">
        <v>1846</v>
      </c>
      <c r="B530" t="s">
        <v>1849</v>
      </c>
      <c r="C530">
        <v>12</v>
      </c>
      <c r="D530" t="s">
        <v>1447</v>
      </c>
      <c r="E530" t="s">
        <v>1851</v>
      </c>
      <c r="F530" t="s">
        <v>1737</v>
      </c>
      <c r="K530" t="str">
        <f>IF(ISBLANK('Q 5'!E80),"",IF('Q 5'!E80="&lt;please select&gt;","",'Q 5'!E80))</f>
        <v>2A1 - Process - Cement Production</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20986041.4376687</v>
      </c>
    </row>
    <row r="650" spans="1:11" x14ac:dyDescent="0.3">
      <c r="A650" t="s">
        <v>1846</v>
      </c>
      <c r="B650" t="s">
        <v>1849</v>
      </c>
      <c r="C650">
        <v>2</v>
      </c>
      <c r="D650" t="s">
        <v>1447</v>
      </c>
      <c r="E650" t="s">
        <v>1852</v>
      </c>
      <c r="F650" t="s">
        <v>1806</v>
      </c>
      <c r="I650" t="str">
        <f>IF(ISBLANK('Q 5'!G70),"",IF('Q 5'!G70="&lt;please select&gt;","",'Q 5'!G70))</f>
        <v>1519667.94</v>
      </c>
    </row>
    <row r="651" spans="1:11" x14ac:dyDescent="0.3">
      <c r="A651" t="s">
        <v>1846</v>
      </c>
      <c r="B651" t="s">
        <v>1849</v>
      </c>
      <c r="C651">
        <v>3</v>
      </c>
      <c r="D651" t="s">
        <v>1447</v>
      </c>
      <c r="E651" t="s">
        <v>1852</v>
      </c>
      <c r="F651" t="s">
        <v>1806</v>
      </c>
      <c r="I651" t="str">
        <f>IF(ISBLANK('Q 5'!G71),"",IF('Q 5'!G71="&lt;please select&gt;","",'Q 5'!G71))</f>
        <v>135841.861676966</v>
      </c>
    </row>
    <row r="652" spans="1:11" x14ac:dyDescent="0.3">
      <c r="A652" t="s">
        <v>1846</v>
      </c>
      <c r="B652" t="s">
        <v>1849</v>
      </c>
      <c r="C652">
        <v>4</v>
      </c>
      <c r="D652" t="s">
        <v>1447</v>
      </c>
      <c r="E652" t="s">
        <v>1852</v>
      </c>
      <c r="F652" t="s">
        <v>1806</v>
      </c>
      <c r="I652" t="str">
        <f>IF(ISBLANK('Q 5'!G72),"",IF('Q 5'!G72="&lt;please select&gt;","",'Q 5'!G72))</f>
        <v>285921</v>
      </c>
    </row>
    <row r="653" spans="1:11" x14ac:dyDescent="0.3">
      <c r="A653" t="s">
        <v>1846</v>
      </c>
      <c r="B653" t="s">
        <v>1849</v>
      </c>
      <c r="C653">
        <v>5</v>
      </c>
      <c r="D653" t="s">
        <v>1447</v>
      </c>
      <c r="E653" t="s">
        <v>1852</v>
      </c>
      <c r="F653" t="s">
        <v>1806</v>
      </c>
      <c r="I653" t="str">
        <f>IF(ISBLANK('Q 5'!G73),"",IF('Q 5'!G73="&lt;please select&gt;","",'Q 5'!G73))</f>
        <v>2620949.6918646</v>
      </c>
    </row>
    <row r="654" spans="1:11" x14ac:dyDescent="0.3">
      <c r="A654" t="s">
        <v>1846</v>
      </c>
      <c r="B654" t="s">
        <v>1849</v>
      </c>
      <c r="C654">
        <v>6</v>
      </c>
      <c r="D654" t="s">
        <v>1447</v>
      </c>
      <c r="E654" t="s">
        <v>1852</v>
      </c>
      <c r="F654" t="s">
        <v>1806</v>
      </c>
      <c r="I654" t="str">
        <f>IF(ISBLANK('Q 5'!G74),"",IF('Q 5'!G74="&lt;please select&gt;","",'Q 5'!G74))</f>
        <v>1827869.0618646</v>
      </c>
    </row>
    <row r="655" spans="1:11" x14ac:dyDescent="0.3">
      <c r="A655" t="s">
        <v>1846</v>
      </c>
      <c r="B655" t="s">
        <v>1849</v>
      </c>
      <c r="C655">
        <v>7</v>
      </c>
      <c r="D655" t="s">
        <v>1447</v>
      </c>
      <c r="E655" t="s">
        <v>1852</v>
      </c>
      <c r="F655" t="s">
        <v>1806</v>
      </c>
      <c r="I655" t="str">
        <f>IF(ISBLANK('Q 5'!G75),"",IF('Q 5'!G75="&lt;please select&gt;","",'Q 5'!G75))</f>
        <v>234529.29</v>
      </c>
    </row>
    <row r="656" spans="1:11" x14ac:dyDescent="0.3">
      <c r="A656" t="s">
        <v>1846</v>
      </c>
      <c r="B656" t="s">
        <v>1849</v>
      </c>
      <c r="C656">
        <v>8</v>
      </c>
      <c r="D656" t="s">
        <v>1447</v>
      </c>
      <c r="E656" t="s">
        <v>1852</v>
      </c>
      <c r="F656" t="s">
        <v>1806</v>
      </c>
      <c r="I656" t="str">
        <f>IF(ISBLANK('Q 5'!G76),"",IF('Q 5'!G76="&lt;please select&gt;","",'Q 5'!G76))</f>
        <v>163852.5</v>
      </c>
    </row>
    <row r="657" spans="1:9" x14ac:dyDescent="0.3">
      <c r="A657" t="s">
        <v>1846</v>
      </c>
      <c r="B657" t="s">
        <v>1849</v>
      </c>
      <c r="C657">
        <v>9</v>
      </c>
      <c r="D657" t="s">
        <v>1447</v>
      </c>
      <c r="E657" t="s">
        <v>1852</v>
      </c>
      <c r="F657" t="s">
        <v>1806</v>
      </c>
      <c r="I657" t="str">
        <f>IF(ISBLANK('Q 5'!G77),"",IF('Q 5'!G77="&lt;please select&gt;","",'Q 5'!G77))</f>
        <v>874242.480514338</v>
      </c>
    </row>
    <row r="658" spans="1:9" x14ac:dyDescent="0.3">
      <c r="A658" t="s">
        <v>1846</v>
      </c>
      <c r="B658" t="s">
        <v>1849</v>
      </c>
      <c r="C658">
        <v>10</v>
      </c>
      <c r="D658" t="s">
        <v>1447</v>
      </c>
      <c r="E658" t="s">
        <v>1852</v>
      </c>
      <c r="F658" t="s">
        <v>1806</v>
      </c>
      <c r="I658" t="str">
        <f>IF(ISBLANK('Q 5'!G78),"",IF('Q 5'!G78="&lt;please select&gt;","",'Q 5'!G78))</f>
        <v>173650.22</v>
      </c>
    </row>
    <row r="659" spans="1:9" x14ac:dyDescent="0.3">
      <c r="A659" t="s">
        <v>1846</v>
      </c>
      <c r="B659" t="s">
        <v>1849</v>
      </c>
      <c r="C659">
        <v>11</v>
      </c>
      <c r="D659" t="s">
        <v>1447</v>
      </c>
      <c r="E659" t="s">
        <v>1852</v>
      </c>
      <c r="F659" t="s">
        <v>1806</v>
      </c>
      <c r="I659" t="str">
        <f>IF(ISBLANK('Q 5'!G79),"",IF('Q 5'!G79="&lt;please select&gt;","",'Q 5'!G79))</f>
        <v>639248.554381011</v>
      </c>
    </row>
    <row r="660" spans="1:9" x14ac:dyDescent="0.3">
      <c r="A660" t="s">
        <v>1846</v>
      </c>
      <c r="B660" t="s">
        <v>1849</v>
      </c>
      <c r="C660">
        <v>12</v>
      </c>
      <c r="D660" t="s">
        <v>1447</v>
      </c>
      <c r="E660" t="s">
        <v>1852</v>
      </c>
      <c r="F660" t="s">
        <v>1806</v>
      </c>
      <c r="I660" t="str">
        <f>IF(ISBLANK('Q 5'!G80),"",IF('Q 5'!G80="&lt;please select&gt;","",'Q 5'!G80))</f>
        <v>1061656.37914079</v>
      </c>
    </row>
    <row r="661" spans="1:9" x14ac:dyDescent="0.3">
      <c r="A661" t="s">
        <v>1846</v>
      </c>
      <c r="B661" t="s">
        <v>1849</v>
      </c>
      <c r="C661">
        <v>13</v>
      </c>
      <c r="D661" t="s">
        <v>1447</v>
      </c>
      <c r="E661" t="s">
        <v>1852</v>
      </c>
      <c r="F661" t="s">
        <v>1806</v>
      </c>
      <c r="I661" t="str">
        <f>IF(ISBLANK('Q 5'!G81),"",IF('Q 5'!G81="&lt;please select&gt;","",'Q 5'!G81))</f>
        <v>15283.72</v>
      </c>
    </row>
    <row r="662" spans="1:9" x14ac:dyDescent="0.3">
      <c r="A662" t="s">
        <v>1846</v>
      </c>
      <c r="B662" t="s">
        <v>1849</v>
      </c>
      <c r="C662">
        <v>14</v>
      </c>
      <c r="D662" t="s">
        <v>1447</v>
      </c>
      <c r="E662" t="s">
        <v>1852</v>
      </c>
      <c r="F662" t="s">
        <v>1806</v>
      </c>
      <c r="I662" t="str">
        <f>IF(ISBLANK('Q 5'!G82),"",IF('Q 5'!G82="&lt;please select&gt;","",'Q 5'!G82))</f>
        <v>128371.86</v>
      </c>
    </row>
    <row r="663" spans="1:9" x14ac:dyDescent="0.3">
      <c r="A663" t="s">
        <v>1846</v>
      </c>
      <c r="B663" t="s">
        <v>1849</v>
      </c>
      <c r="C663">
        <v>15</v>
      </c>
      <c r="D663" t="s">
        <v>1447</v>
      </c>
      <c r="E663" t="s">
        <v>1852</v>
      </c>
      <c r="F663" t="s">
        <v>1806</v>
      </c>
      <c r="I663" t="str">
        <f>IF(ISBLANK('Q 5'!G83),"",IF('Q 5'!G83="&lt;please select&gt;","",'Q 5'!G83))</f>
        <v>1282.13849426923</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20760101.2176688</v>
      </c>
    </row>
    <row r="780" spans="1:9" x14ac:dyDescent="0.3">
      <c r="A780" t="s">
        <v>1846</v>
      </c>
      <c r="B780" t="s">
        <v>1849</v>
      </c>
      <c r="C780">
        <v>2</v>
      </c>
      <c r="D780" t="s">
        <v>1447</v>
      </c>
      <c r="E780" t="s">
        <v>1853</v>
      </c>
      <c r="F780" t="s">
        <v>1806</v>
      </c>
      <c r="I780" t="str">
        <f>IF(ISBLANK('Q 5'!H70),"",IF('Q 5'!H70="&lt;please select&gt;","",'Q 5'!H70))</f>
        <v>1519667.94</v>
      </c>
    </row>
    <row r="781" spans="1:9" x14ac:dyDescent="0.3">
      <c r="A781" t="s">
        <v>1846</v>
      </c>
      <c r="B781" t="s">
        <v>1849</v>
      </c>
      <c r="C781">
        <v>3</v>
      </c>
      <c r="D781" t="s">
        <v>1447</v>
      </c>
      <c r="E781" t="s">
        <v>1853</v>
      </c>
      <c r="F781" t="s">
        <v>1806</v>
      </c>
      <c r="I781" t="str">
        <f>IF(ISBLANK('Q 5'!H71),"",IF('Q 5'!H71="&lt;please select&gt;","",'Q 5'!H71))</f>
        <v>112970.11</v>
      </c>
    </row>
    <row r="782" spans="1:9" x14ac:dyDescent="0.3">
      <c r="A782" t="s">
        <v>1846</v>
      </c>
      <c r="B782" t="s">
        <v>1849</v>
      </c>
      <c r="C782">
        <v>4</v>
      </c>
      <c r="D782" t="s">
        <v>1447</v>
      </c>
      <c r="E782" t="s">
        <v>1853</v>
      </c>
      <c r="F782" t="s">
        <v>1806</v>
      </c>
      <c r="I782" t="str">
        <f>IF(ISBLANK('Q 5'!H72),"",IF('Q 5'!H72="&lt;please select&gt;","",'Q 5'!H72))</f>
        <v>285921</v>
      </c>
    </row>
    <row r="783" spans="1:9" x14ac:dyDescent="0.3">
      <c r="A783" t="s">
        <v>1846</v>
      </c>
      <c r="B783" t="s">
        <v>1849</v>
      </c>
      <c r="C783">
        <v>5</v>
      </c>
      <c r="D783" t="s">
        <v>1447</v>
      </c>
      <c r="E783" t="s">
        <v>1853</v>
      </c>
      <c r="F783" t="s">
        <v>1806</v>
      </c>
      <c r="I783" t="str">
        <f>IF(ISBLANK('Q 5'!H73),"",IF('Q 5'!H73="&lt;please select&gt;","",'Q 5'!H73))</f>
        <v>720082.63</v>
      </c>
    </row>
    <row r="784" spans="1:9" x14ac:dyDescent="0.3">
      <c r="A784" t="s">
        <v>1846</v>
      </c>
      <c r="B784" t="s">
        <v>1849</v>
      </c>
      <c r="C784">
        <v>6</v>
      </c>
      <c r="D784" t="s">
        <v>1447</v>
      </c>
      <c r="E784" t="s">
        <v>1853</v>
      </c>
      <c r="F784" t="s">
        <v>1806</v>
      </c>
      <c r="I784" t="str">
        <f>IF(ISBLANK('Q 5'!H74),"",IF('Q 5'!H74="&lt;please select&gt;","",'Q 5'!H74))</f>
        <v/>
      </c>
    </row>
    <row r="785" spans="1:9" x14ac:dyDescent="0.3">
      <c r="A785" t="s">
        <v>1846</v>
      </c>
      <c r="B785" t="s">
        <v>1849</v>
      </c>
      <c r="C785">
        <v>7</v>
      </c>
      <c r="D785" t="s">
        <v>1447</v>
      </c>
      <c r="E785" t="s">
        <v>1853</v>
      </c>
      <c r="F785" t="s">
        <v>1806</v>
      </c>
      <c r="I785" t="str">
        <f>IF(ISBLANK('Q 5'!H75),"",IF('Q 5'!H75="&lt;please select&gt;","",'Q 5'!H75))</f>
        <v>87679.22</v>
      </c>
    </row>
    <row r="786" spans="1:9" x14ac:dyDescent="0.3">
      <c r="A786" t="s">
        <v>1846</v>
      </c>
      <c r="B786" t="s">
        <v>1849</v>
      </c>
      <c r="C786">
        <v>8</v>
      </c>
      <c r="D786" t="s">
        <v>1447</v>
      </c>
      <c r="E786" t="s">
        <v>1853</v>
      </c>
      <c r="F786" t="s">
        <v>1806</v>
      </c>
      <c r="I786" t="str">
        <f>IF(ISBLANK('Q 5'!H76),"",IF('Q 5'!H76="&lt;please select&gt;","",'Q 5'!H76))</f>
        <v>163852.5</v>
      </c>
    </row>
    <row r="787" spans="1:9" x14ac:dyDescent="0.3">
      <c r="A787" t="s">
        <v>1846</v>
      </c>
      <c r="B787" t="s">
        <v>1849</v>
      </c>
      <c r="C787">
        <v>9</v>
      </c>
      <c r="D787" t="s">
        <v>1447</v>
      </c>
      <c r="E787" t="s">
        <v>1853</v>
      </c>
      <c r="F787" t="s">
        <v>1806</v>
      </c>
      <c r="I787" t="str">
        <f>IF(ISBLANK('Q 5'!H77),"",IF('Q 5'!H77="&lt;please select&gt;","",'Q 5'!H77))</f>
        <v>194089.962893301</v>
      </c>
    </row>
    <row r="788" spans="1:9" x14ac:dyDescent="0.3">
      <c r="A788" t="s">
        <v>1846</v>
      </c>
      <c r="B788" t="s">
        <v>1849</v>
      </c>
      <c r="C788">
        <v>10</v>
      </c>
      <c r="D788" t="s">
        <v>1447</v>
      </c>
      <c r="E788" t="s">
        <v>1853</v>
      </c>
      <c r="F788" t="s">
        <v>1806</v>
      </c>
      <c r="I788" t="str">
        <f>IF(ISBLANK('Q 5'!H78),"",IF('Q 5'!H78="&lt;please select&gt;","",'Q 5'!H78))</f>
        <v>26800.15</v>
      </c>
    </row>
    <row r="789" spans="1:9" x14ac:dyDescent="0.3">
      <c r="A789" t="s">
        <v>1846</v>
      </c>
      <c r="B789" t="s">
        <v>1849</v>
      </c>
      <c r="C789">
        <v>11</v>
      </c>
      <c r="D789" t="s">
        <v>1447</v>
      </c>
      <c r="E789" t="s">
        <v>1853</v>
      </c>
      <c r="F789" t="s">
        <v>1806</v>
      </c>
      <c r="I789" t="str">
        <f>IF(ISBLANK('Q 5'!H79),"",IF('Q 5'!H79="&lt;please select&gt;","",'Q 5'!H79))</f>
        <v>454187.83</v>
      </c>
    </row>
    <row r="790" spans="1:9" x14ac:dyDescent="0.3">
      <c r="A790" t="s">
        <v>1846</v>
      </c>
      <c r="B790" t="s">
        <v>1849</v>
      </c>
      <c r="C790">
        <v>12</v>
      </c>
      <c r="D790" t="s">
        <v>1447</v>
      </c>
      <c r="E790" t="s">
        <v>1853</v>
      </c>
      <c r="F790" t="s">
        <v>1806</v>
      </c>
      <c r="I790" t="str">
        <f>IF(ISBLANK('Q 5'!H80),"",IF('Q 5'!H80="&lt;please select&gt;","",'Q 5'!H80))</f>
        <v>27187</v>
      </c>
    </row>
    <row r="791" spans="1:9" x14ac:dyDescent="0.3">
      <c r="A791" t="s">
        <v>1846</v>
      </c>
      <c r="B791" t="s">
        <v>1849</v>
      </c>
      <c r="C791">
        <v>13</v>
      </c>
      <c r="D791" t="s">
        <v>1447</v>
      </c>
      <c r="E791" t="s">
        <v>1853</v>
      </c>
      <c r="F791" t="s">
        <v>1806</v>
      </c>
      <c r="I791" t="str">
        <f>IF(ISBLANK('Q 5'!H81),"",IF('Q 5'!H81="&lt;please select&gt;","",'Q 5'!H81))</f>
        <v>15283.72</v>
      </c>
    </row>
    <row r="792" spans="1:9" x14ac:dyDescent="0.3">
      <c r="A792" t="s">
        <v>1846</v>
      </c>
      <c r="B792" t="s">
        <v>1849</v>
      </c>
      <c r="C792">
        <v>14</v>
      </c>
      <c r="D792" t="s">
        <v>1447</v>
      </c>
      <c r="E792" t="s">
        <v>1853</v>
      </c>
      <c r="F792" t="s">
        <v>1806</v>
      </c>
      <c r="I792" t="str">
        <f>IF(ISBLANK('Q 5'!H82),"",IF('Q 5'!H82="&lt;please select&gt;","",'Q 5'!H82))</f>
        <v>128371.86</v>
      </c>
    </row>
    <row r="793" spans="1:9" x14ac:dyDescent="0.3">
      <c r="A793" t="s">
        <v>1846</v>
      </c>
      <c r="B793" t="s">
        <v>1849</v>
      </c>
      <c r="C793">
        <v>15</v>
      </c>
      <c r="D793" t="s">
        <v>1447</v>
      </c>
      <c r="E793" t="s">
        <v>1853</v>
      </c>
      <c r="F793" t="s">
        <v>1806</v>
      </c>
      <c r="I793" t="str">
        <f>IF(ISBLANK('Q 5'!H83),"",IF('Q 5'!H83="&lt;please select&gt;","",'Q 5'!H83))</f>
        <v>1282.13849426923</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225940.22</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22871.7516769663</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72998</v>
      </c>
    </row>
    <row r="914" spans="1:9" x14ac:dyDescent="0.3">
      <c r="A914" t="s">
        <v>1846</v>
      </c>
      <c r="B914" t="s">
        <v>1849</v>
      </c>
      <c r="C914">
        <v>6</v>
      </c>
      <c r="D914" t="s">
        <v>1447</v>
      </c>
      <c r="E914" t="s">
        <v>1854</v>
      </c>
      <c r="F914" t="s">
        <v>1806</v>
      </c>
      <c r="I914" t="str">
        <f>IF(ISBLANK('Q 5'!I74),"",IF('Q 5'!I74="&lt;please select&gt;","",'Q 5'!I74))</f>
        <v>1827869.0618646</v>
      </c>
    </row>
    <row r="915" spans="1:9" x14ac:dyDescent="0.3">
      <c r="A915" t="s">
        <v>1846</v>
      </c>
      <c r="B915" t="s">
        <v>1849</v>
      </c>
      <c r="C915">
        <v>7</v>
      </c>
      <c r="D915" t="s">
        <v>1447</v>
      </c>
      <c r="E915" t="s">
        <v>1854</v>
      </c>
      <c r="F915" t="s">
        <v>1806</v>
      </c>
      <c r="I915" t="str">
        <f>IF(ISBLANK('Q 5'!I75),"",IF('Q 5'!I75="&lt;please select&gt;","",'Q 5'!I75))</f>
        <v>146850.07</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680152.517621038</v>
      </c>
    </row>
    <row r="918" spans="1:9" x14ac:dyDescent="0.3">
      <c r="A918" t="s">
        <v>1846</v>
      </c>
      <c r="B918" t="s">
        <v>1849</v>
      </c>
      <c r="C918">
        <v>10</v>
      </c>
      <c r="D918" t="s">
        <v>1447</v>
      </c>
      <c r="E918" t="s">
        <v>1854</v>
      </c>
      <c r="F918" t="s">
        <v>1806</v>
      </c>
      <c r="I918" t="str">
        <f>IF(ISBLANK('Q 5'!I78),"",IF('Q 5'!I78="&lt;please select&gt;","",'Q 5'!I78))</f>
        <v>146850.07</v>
      </c>
    </row>
    <row r="919" spans="1:9" x14ac:dyDescent="0.3">
      <c r="A919" t="s">
        <v>1846</v>
      </c>
      <c r="B919" t="s">
        <v>1849</v>
      </c>
      <c r="C919">
        <v>11</v>
      </c>
      <c r="D919" t="s">
        <v>1447</v>
      </c>
      <c r="E919" t="s">
        <v>1854</v>
      </c>
      <c r="F919" t="s">
        <v>1806</v>
      </c>
      <c r="I919" t="str">
        <f>IF(ISBLANK('Q 5'!I79),"",IF('Q 5'!I79="&lt;please select&gt;","",'Q 5'!I79))</f>
        <v>185060.724381011</v>
      </c>
    </row>
    <row r="920" spans="1:9" x14ac:dyDescent="0.3">
      <c r="A920" t="s">
        <v>1846</v>
      </c>
      <c r="B920" t="s">
        <v>1849</v>
      </c>
      <c r="C920">
        <v>12</v>
      </c>
      <c r="D920" t="s">
        <v>1447</v>
      </c>
      <c r="E920" t="s">
        <v>1854</v>
      </c>
      <c r="F920" t="s">
        <v>1806</v>
      </c>
      <c r="I920" t="str">
        <f>IF(ISBLANK('Q 5'!I80),"",IF('Q 5'!I80="&lt;please select&gt;","",'Q 5'!I80))</f>
        <v>1034469.37914079</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A installation</v>
      </c>
    </row>
    <row r="1040" spans="1:11" x14ac:dyDescent="0.3">
      <c r="A1040" t="s">
        <v>1847</v>
      </c>
      <c r="B1040" t="s">
        <v>1855</v>
      </c>
      <c r="C1040">
        <v>2</v>
      </c>
      <c r="D1040" t="s">
        <v>1447</v>
      </c>
      <c r="E1040" t="s">
        <v>1856</v>
      </c>
      <c r="F1040" t="s">
        <v>1737</v>
      </c>
      <c r="K1040" t="str">
        <f>IF(ISBLANK('Q 5'!C204),"",IF('Q 5'!C204="&lt;please select&gt;","",'Q 5'!C204))</f>
        <v>Category A installation</v>
      </c>
    </row>
    <row r="1041" spans="1:11" x14ac:dyDescent="0.3">
      <c r="A1041" t="s">
        <v>1847</v>
      </c>
      <c r="B1041" t="s">
        <v>1855</v>
      </c>
      <c r="C1041">
        <v>3</v>
      </c>
      <c r="D1041" t="s">
        <v>1447</v>
      </c>
      <c r="E1041" t="s">
        <v>1856</v>
      </c>
      <c r="F1041" t="s">
        <v>1737</v>
      </c>
      <c r="K1041" t="str">
        <f>IF(ISBLANK('Q 5'!C205),"",IF('Q 5'!C205="&lt;please select&gt;","",'Q 5'!C205))</f>
        <v>Category B installation</v>
      </c>
    </row>
    <row r="1042" spans="1:11" x14ac:dyDescent="0.3">
      <c r="A1042" t="s">
        <v>1847</v>
      </c>
      <c r="B1042" t="s">
        <v>1855</v>
      </c>
      <c r="C1042">
        <v>4</v>
      </c>
      <c r="D1042" t="s">
        <v>1447</v>
      </c>
      <c r="E1042" t="s">
        <v>1856</v>
      </c>
      <c r="F1042" t="s">
        <v>1737</v>
      </c>
      <c r="K1042" t="str">
        <f>IF(ISBLANK('Q 5'!C206),"",IF('Q 5'!C206="&lt;please select&gt;","",'Q 5'!C206))</f>
        <v>Category B installation</v>
      </c>
    </row>
    <row r="1043" spans="1:11" x14ac:dyDescent="0.3">
      <c r="A1043" t="s">
        <v>1847</v>
      </c>
      <c r="B1043" t="s">
        <v>1855</v>
      </c>
      <c r="C1043">
        <v>5</v>
      </c>
      <c r="D1043" t="s">
        <v>1447</v>
      </c>
      <c r="E1043" t="s">
        <v>1856</v>
      </c>
      <c r="F1043" t="s">
        <v>1737</v>
      </c>
      <c r="K1043" t="str">
        <f>IF(ISBLANK('Q 5'!C207),"",IF('Q 5'!C207="&lt;please select&gt;","",'Q 5'!C207))</f>
        <v>Category C installation</v>
      </c>
    </row>
    <row r="1044" spans="1:11" x14ac:dyDescent="0.3">
      <c r="A1044" t="s">
        <v>1847</v>
      </c>
      <c r="B1044" t="s">
        <v>1855</v>
      </c>
      <c r="C1044">
        <v>6</v>
      </c>
      <c r="D1044" t="s">
        <v>1447</v>
      </c>
      <c r="E1044" t="s">
        <v>1856</v>
      </c>
      <c r="F1044" t="s">
        <v>1737</v>
      </c>
      <c r="K1044" t="str">
        <f>IF(ISBLANK('Q 5'!C208),"",IF('Q 5'!C208="&lt;please select&gt;","",'Q 5'!C208))</f>
        <v/>
      </c>
    </row>
    <row r="1045" spans="1:11" x14ac:dyDescent="0.3">
      <c r="A1045" t="s">
        <v>1847</v>
      </c>
      <c r="B1045" t="s">
        <v>1855</v>
      </c>
      <c r="C1045">
        <v>7</v>
      </c>
      <c r="D1045" t="s">
        <v>1447</v>
      </c>
      <c r="E1045" t="s">
        <v>1856</v>
      </c>
      <c r="F1045" t="s">
        <v>1737</v>
      </c>
      <c r="K1045" t="str">
        <f>IF(ISBLANK('Q 5'!C209),"",IF('Q 5'!C209="&lt;please select&gt;","",'Q 5'!C209))</f>
        <v/>
      </c>
    </row>
    <row r="1046" spans="1:11" x14ac:dyDescent="0.3">
      <c r="A1046" t="s">
        <v>1847</v>
      </c>
      <c r="B1046" t="s">
        <v>1855</v>
      </c>
      <c r="C1046">
        <v>8</v>
      </c>
      <c r="D1046" t="s">
        <v>1447</v>
      </c>
      <c r="E1046" t="s">
        <v>1856</v>
      </c>
      <c r="F1046" t="s">
        <v>1737</v>
      </c>
      <c r="K1046" t="str">
        <f>IF(ISBLANK('Q 5'!C210),"",IF('Q 5'!C210="&lt;please select&gt;","",'Q 5'!C210))</f>
        <v/>
      </c>
    </row>
    <row r="1047" spans="1:11" x14ac:dyDescent="0.3">
      <c r="A1047" t="s">
        <v>1847</v>
      </c>
      <c r="B1047" t="s">
        <v>1855</v>
      </c>
      <c r="C1047">
        <v>9</v>
      </c>
      <c r="D1047" t="s">
        <v>1447</v>
      </c>
      <c r="E1047" t="s">
        <v>1856</v>
      </c>
      <c r="F1047" t="s">
        <v>1737</v>
      </c>
      <c r="K1047" t="str">
        <f>IF(ISBLANK('Q 5'!C211),"",IF('Q 5'!C211="&lt;please select&gt;","",'Q 5'!C211))</f>
        <v/>
      </c>
    </row>
    <row r="1048" spans="1:11" x14ac:dyDescent="0.3">
      <c r="A1048" t="s">
        <v>1847</v>
      </c>
      <c r="B1048" t="s">
        <v>1855</v>
      </c>
      <c r="C1048">
        <v>10</v>
      </c>
      <c r="D1048" t="s">
        <v>1447</v>
      </c>
      <c r="E1048" t="s">
        <v>1856</v>
      </c>
      <c r="F1048" t="s">
        <v>1737</v>
      </c>
      <c r="K1048" t="str">
        <f>IF(ISBLANK('Q 5'!C212),"",IF('Q 5'!C212="&lt;please select&gt;","",'Q 5'!C212))</f>
        <v/>
      </c>
    </row>
    <row r="1049" spans="1:11" x14ac:dyDescent="0.3">
      <c r="A1049" t="s">
        <v>1847</v>
      </c>
      <c r="B1049" t="s">
        <v>1855</v>
      </c>
      <c r="C1049">
        <v>11</v>
      </c>
      <c r="D1049" t="s">
        <v>1447</v>
      </c>
      <c r="E1049" t="s">
        <v>1856</v>
      </c>
      <c r="F1049" t="s">
        <v>1737</v>
      </c>
      <c r="K1049" t="str">
        <f>IF(ISBLANK('Q 5'!C213),"",IF('Q 5'!C213="&lt;please select&gt;","",'Q 5'!C213))</f>
        <v/>
      </c>
    </row>
    <row r="1050" spans="1:11" x14ac:dyDescent="0.3">
      <c r="A1050" t="s">
        <v>1847</v>
      </c>
      <c r="B1050" t="s">
        <v>1855</v>
      </c>
      <c r="C1050">
        <v>12</v>
      </c>
      <c r="D1050" t="s">
        <v>1447</v>
      </c>
      <c r="E1050" t="s">
        <v>1856</v>
      </c>
      <c r="F1050" t="s">
        <v>1737</v>
      </c>
      <c r="K1050" t="str">
        <f>IF(ISBLANK('Q 5'!C214),"",IF('Q 5'!C214="&lt;please select&gt;","",'Q 5'!C214))</f>
        <v/>
      </c>
    </row>
    <row r="1051" spans="1:11" x14ac:dyDescent="0.3">
      <c r="A1051" t="s">
        <v>1847</v>
      </c>
      <c r="B1051" t="s">
        <v>1855</v>
      </c>
      <c r="C1051">
        <v>13</v>
      </c>
      <c r="D1051" t="s">
        <v>1447</v>
      </c>
      <c r="E1051" t="s">
        <v>1856</v>
      </c>
      <c r="F1051" t="s">
        <v>1737</v>
      </c>
      <c r="K1051" t="str">
        <f>IF(ISBLANK('Q 5'!C215),"",IF('Q 5'!C215="&lt;please select&gt;","",'Q 5'!C215))</f>
        <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biogas</v>
      </c>
    </row>
    <row r="1840" spans="1:11" x14ac:dyDescent="0.3">
      <c r="A1840" t="s">
        <v>1847</v>
      </c>
      <c r="B1840" t="s">
        <v>1855</v>
      </c>
      <c r="C1840">
        <v>2</v>
      </c>
      <c r="D1840" t="s">
        <v>1447</v>
      </c>
      <c r="E1840" t="s">
        <v>1857</v>
      </c>
      <c r="F1840" t="s">
        <v>1741</v>
      </c>
      <c r="G1840" t="str">
        <f>IF(ISBLANK('Q 5'!H204),"",IF('Q 5'!H204="&lt;please select&gt;","",'Q 5'!H204))</f>
        <v>biomass</v>
      </c>
    </row>
    <row r="1841" spans="1:7" x14ac:dyDescent="0.3">
      <c r="A1841" t="s">
        <v>1847</v>
      </c>
      <c r="B1841" t="s">
        <v>1855</v>
      </c>
      <c r="C1841">
        <v>3</v>
      </c>
      <c r="D1841" t="s">
        <v>1447</v>
      </c>
      <c r="E1841" t="s">
        <v>1857</v>
      </c>
      <c r="F1841" t="s">
        <v>1741</v>
      </c>
      <c r="G1841" t="str">
        <f>IF(ISBLANK('Q 5'!H205),"",IF('Q 5'!H205="&lt;please select&gt;","",'Q 5'!H205))</f>
        <v>natural gas</v>
      </c>
    </row>
    <row r="1842" spans="1:7" x14ac:dyDescent="0.3">
      <c r="A1842" t="s">
        <v>1847</v>
      </c>
      <c r="B1842" t="s">
        <v>1855</v>
      </c>
      <c r="C1842">
        <v>4</v>
      </c>
      <c r="D1842" t="s">
        <v>1447</v>
      </c>
      <c r="E1842" t="s">
        <v>1857</v>
      </c>
      <c r="F1842" t="s">
        <v>1741</v>
      </c>
      <c r="G1842" t="str">
        <f>IF(ISBLANK('Q 5'!H206),"",IF('Q 5'!H206="&lt;please select&gt;","",'Q 5'!H206))</f>
        <v>biomass</v>
      </c>
    </row>
    <row r="1843" spans="1:7" x14ac:dyDescent="0.3">
      <c r="A1843" t="s">
        <v>1847</v>
      </c>
      <c r="B1843" t="s">
        <v>1855</v>
      </c>
      <c r="C1843">
        <v>5</v>
      </c>
      <c r="D1843" t="s">
        <v>1447</v>
      </c>
      <c r="E1843" t="s">
        <v>1857</v>
      </c>
      <c r="F1843" t="s">
        <v>1741</v>
      </c>
      <c r="G1843" t="str">
        <f>IF(ISBLANK('Q 5'!H207),"",IF('Q 5'!H207="&lt;please select&gt;","",'Q 5'!H207))</f>
        <v/>
      </c>
    </row>
    <row r="1844" spans="1:7" x14ac:dyDescent="0.3">
      <c r="A1844" t="s">
        <v>1847</v>
      </c>
      <c r="B1844" t="s">
        <v>1855</v>
      </c>
      <c r="C1844">
        <v>6</v>
      </c>
      <c r="D1844" t="s">
        <v>1447</v>
      </c>
      <c r="E1844" t="s">
        <v>1857</v>
      </c>
      <c r="F1844" t="s">
        <v>1741</v>
      </c>
      <c r="G1844" t="str">
        <f>IF(ISBLANK('Q 5'!H208),"",IF('Q 5'!H208="&lt;please select&gt;","",'Q 5'!H208))</f>
        <v/>
      </c>
    </row>
    <row r="1845" spans="1:7" x14ac:dyDescent="0.3">
      <c r="A1845" t="s">
        <v>1847</v>
      </c>
      <c r="B1845" t="s">
        <v>1855</v>
      </c>
      <c r="C1845">
        <v>7</v>
      </c>
      <c r="D1845" t="s">
        <v>1447</v>
      </c>
      <c r="E1845" t="s">
        <v>1857</v>
      </c>
      <c r="F1845" t="s">
        <v>1741</v>
      </c>
      <c r="G1845" t="str">
        <f>IF(ISBLANK('Q 5'!H209),"",IF('Q 5'!H209="&lt;please select&gt;","",'Q 5'!H209))</f>
        <v/>
      </c>
    </row>
    <row r="1846" spans="1:7" x14ac:dyDescent="0.3">
      <c r="A1846" t="s">
        <v>1847</v>
      </c>
      <c r="B1846" t="s">
        <v>1855</v>
      </c>
      <c r="C1846">
        <v>8</v>
      </c>
      <c r="D1846" t="s">
        <v>1447</v>
      </c>
      <c r="E1846" t="s">
        <v>1857</v>
      </c>
      <c r="F1846" t="s">
        <v>1741</v>
      </c>
      <c r="G1846" t="str">
        <f>IF(ISBLANK('Q 5'!H210),"",IF('Q 5'!H210="&lt;please select&gt;","",'Q 5'!H210))</f>
        <v/>
      </c>
    </row>
    <row r="1847" spans="1:7" x14ac:dyDescent="0.3">
      <c r="A1847" t="s">
        <v>1847</v>
      </c>
      <c r="B1847" t="s">
        <v>1855</v>
      </c>
      <c r="C1847">
        <v>9</v>
      </c>
      <c r="D1847" t="s">
        <v>1447</v>
      </c>
      <c r="E1847" t="s">
        <v>1857</v>
      </c>
      <c r="F1847" t="s">
        <v>1741</v>
      </c>
      <c r="G1847" t="str">
        <f>IF(ISBLANK('Q 5'!H211),"",IF('Q 5'!H211="&lt;please select&gt;","",'Q 5'!H211))</f>
        <v/>
      </c>
    </row>
    <row r="1848" spans="1:7" x14ac:dyDescent="0.3">
      <c r="A1848" t="s">
        <v>1847</v>
      </c>
      <c r="B1848" t="s">
        <v>1855</v>
      </c>
      <c r="C1848">
        <v>10</v>
      </c>
      <c r="D1848" t="s">
        <v>1447</v>
      </c>
      <c r="E1848" t="s">
        <v>1857</v>
      </c>
      <c r="F1848" t="s">
        <v>1741</v>
      </c>
      <c r="G1848" t="str">
        <f>IF(ISBLANK('Q 5'!H212),"",IF('Q 5'!H212="&lt;please select&gt;","",'Q 5'!H212))</f>
        <v/>
      </c>
    </row>
    <row r="1849" spans="1:7" x14ac:dyDescent="0.3">
      <c r="A1849" t="s">
        <v>1847</v>
      </c>
      <c r="B1849" t="s">
        <v>1855</v>
      </c>
      <c r="C1849">
        <v>11</v>
      </c>
      <c r="D1849" t="s">
        <v>1447</v>
      </c>
      <c r="E1849" t="s">
        <v>1857</v>
      </c>
      <c r="F1849" t="s">
        <v>1741</v>
      </c>
      <c r="G1849" t="str">
        <f>IF(ISBLANK('Q 5'!H213),"",IF('Q 5'!H213="&lt;please select&gt;","",'Q 5'!H213))</f>
        <v/>
      </c>
    </row>
    <row r="1850" spans="1:7" x14ac:dyDescent="0.3">
      <c r="A1850" t="s">
        <v>1847</v>
      </c>
      <c r="B1850" t="s">
        <v>1855</v>
      </c>
      <c r="C1850">
        <v>12</v>
      </c>
      <c r="D1850" t="s">
        <v>1447</v>
      </c>
      <c r="E1850" t="s">
        <v>1857</v>
      </c>
      <c r="F1850" t="s">
        <v>1741</v>
      </c>
      <c r="G1850" t="str">
        <f>IF(ISBLANK('Q 5'!H214),"",IF('Q 5'!H214="&lt;please select&gt;","",'Q 5'!H214))</f>
        <v/>
      </c>
    </row>
    <row r="1851" spans="1:7" x14ac:dyDescent="0.3">
      <c r="A1851" t="s">
        <v>1847</v>
      </c>
      <c r="B1851" t="s">
        <v>1855</v>
      </c>
      <c r="C1851">
        <v>13</v>
      </c>
      <c r="D1851" t="s">
        <v>1447</v>
      </c>
      <c r="E1851" t="s">
        <v>1857</v>
      </c>
      <c r="F1851" t="s">
        <v>1741</v>
      </c>
      <c r="G1851" t="str">
        <f>IF(ISBLANK('Q 5'!H215),"",IF('Q 5'!H215="&lt;please select&gt;","",'Q 5'!H215))</f>
        <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v>
      </c>
    </row>
    <row r="2640" spans="1:8" x14ac:dyDescent="0.3">
      <c r="A2640" t="s">
        <v>1847</v>
      </c>
      <c r="B2640" t="s">
        <v>1855</v>
      </c>
      <c r="C2640">
        <v>2</v>
      </c>
      <c r="D2640" t="s">
        <v>1447</v>
      </c>
      <c r="E2640" t="s">
        <v>1858</v>
      </c>
      <c r="F2640" t="s">
        <v>1748</v>
      </c>
      <c r="H2640" s="165" t="str">
        <f>IF(ISBLANK('Q 5'!I204),"",IF('Q 5'!I204="&lt;please select&gt;","",'Q 5'!I204))</f>
        <v>1</v>
      </c>
    </row>
    <row r="2641" spans="1:8" x14ac:dyDescent="0.3">
      <c r="A2641" t="s">
        <v>1847</v>
      </c>
      <c r="B2641" t="s">
        <v>1855</v>
      </c>
      <c r="C2641">
        <v>3</v>
      </c>
      <c r="D2641" t="s">
        <v>1447</v>
      </c>
      <c r="E2641" t="s">
        <v>1858</v>
      </c>
      <c r="F2641" t="s">
        <v>1748</v>
      </c>
      <c r="H2641" s="165" t="str">
        <f>IF(ISBLANK('Q 5'!I205),"",IF('Q 5'!I205="&lt;please select&gt;","",'Q 5'!I205))</f>
        <v>2</v>
      </c>
    </row>
    <row r="2642" spans="1:8" x14ac:dyDescent="0.3">
      <c r="A2642" t="s">
        <v>1847</v>
      </c>
      <c r="B2642" t="s">
        <v>1855</v>
      </c>
      <c r="C2642">
        <v>4</v>
      </c>
      <c r="D2642" t="s">
        <v>1447</v>
      </c>
      <c r="E2642" t="s">
        <v>1858</v>
      </c>
      <c r="F2642" t="s">
        <v>1748</v>
      </c>
      <c r="H2642" s="165" t="str">
        <f>IF(ISBLANK('Q 5'!I206),"",IF('Q 5'!I206="&lt;please select&gt;","",'Q 5'!I206))</f>
        <v>1</v>
      </c>
    </row>
    <row r="2643" spans="1:8" x14ac:dyDescent="0.3">
      <c r="A2643" t="s">
        <v>1847</v>
      </c>
      <c r="B2643" t="s">
        <v>1855</v>
      </c>
      <c r="C2643">
        <v>5</v>
      </c>
      <c r="D2643" t="s">
        <v>1447</v>
      </c>
      <c r="E2643" t="s">
        <v>1858</v>
      </c>
      <c r="F2643" t="s">
        <v>1748</v>
      </c>
      <c r="H2643" s="165" t="str">
        <f>IF(ISBLANK('Q 5'!I207),"",IF('Q 5'!I207="&lt;please select&gt;","",'Q 5'!I207))</f>
        <v>0</v>
      </c>
    </row>
    <row r="2644" spans="1:8" x14ac:dyDescent="0.3">
      <c r="A2644" t="s">
        <v>1847</v>
      </c>
      <c r="B2644" t="s">
        <v>1855</v>
      </c>
      <c r="C2644">
        <v>6</v>
      </c>
      <c r="D2644" t="s">
        <v>1447</v>
      </c>
      <c r="E2644" t="s">
        <v>1858</v>
      </c>
      <c r="F2644" t="s">
        <v>1748</v>
      </c>
      <c r="H2644" s="165" t="str">
        <f>IF(ISBLANK('Q 5'!I208),"",IF('Q 5'!I208="&lt;please select&gt;","",'Q 5'!I208))</f>
        <v/>
      </c>
    </row>
    <row r="2645" spans="1:8" x14ac:dyDescent="0.3">
      <c r="A2645" t="s">
        <v>1847</v>
      </c>
      <c r="B2645" t="s">
        <v>1855</v>
      </c>
      <c r="C2645">
        <v>7</v>
      </c>
      <c r="D2645" t="s">
        <v>1447</v>
      </c>
      <c r="E2645" t="s">
        <v>1858</v>
      </c>
      <c r="F2645" t="s">
        <v>1748</v>
      </c>
      <c r="H2645" s="165" t="str">
        <f>IF(ISBLANK('Q 5'!I209),"",IF('Q 5'!I209="&lt;please select&gt;","",'Q 5'!I209))</f>
        <v/>
      </c>
    </row>
    <row r="2646" spans="1:8" x14ac:dyDescent="0.3">
      <c r="A2646" t="s">
        <v>1847</v>
      </c>
      <c r="B2646" t="s">
        <v>1855</v>
      </c>
      <c r="C2646">
        <v>8</v>
      </c>
      <c r="D2646" t="s">
        <v>1447</v>
      </c>
      <c r="E2646" t="s">
        <v>1858</v>
      </c>
      <c r="F2646" t="s">
        <v>1748</v>
      </c>
      <c r="H2646" s="165" t="str">
        <f>IF(ISBLANK('Q 5'!I210),"",IF('Q 5'!I210="&lt;please select&gt;","",'Q 5'!I210))</f>
        <v/>
      </c>
    </row>
    <row r="2647" spans="1:8" x14ac:dyDescent="0.3">
      <c r="A2647" t="s">
        <v>1847</v>
      </c>
      <c r="B2647" t="s">
        <v>1855</v>
      </c>
      <c r="C2647">
        <v>9</v>
      </c>
      <c r="D2647" t="s">
        <v>1447</v>
      </c>
      <c r="E2647" t="s">
        <v>1858</v>
      </c>
      <c r="F2647" t="s">
        <v>1748</v>
      </c>
      <c r="H2647" s="165" t="str">
        <f>IF(ISBLANK('Q 5'!I211),"",IF('Q 5'!I211="&lt;please select&gt;","",'Q 5'!I211))</f>
        <v/>
      </c>
    </row>
    <row r="2648" spans="1:8" x14ac:dyDescent="0.3">
      <c r="A2648" t="s">
        <v>1847</v>
      </c>
      <c r="B2648" t="s">
        <v>1855</v>
      </c>
      <c r="C2648">
        <v>10</v>
      </c>
      <c r="D2648" t="s">
        <v>1447</v>
      </c>
      <c r="E2648" t="s">
        <v>1858</v>
      </c>
      <c r="F2648" t="s">
        <v>1748</v>
      </c>
      <c r="H2648" s="165" t="str">
        <f>IF(ISBLANK('Q 5'!I212),"",IF('Q 5'!I212="&lt;please select&gt;","",'Q 5'!I212))</f>
        <v/>
      </c>
    </row>
    <row r="2649" spans="1:8" x14ac:dyDescent="0.3">
      <c r="A2649" t="s">
        <v>1847</v>
      </c>
      <c r="B2649" t="s">
        <v>1855</v>
      </c>
      <c r="C2649">
        <v>11</v>
      </c>
      <c r="D2649" t="s">
        <v>1447</v>
      </c>
      <c r="E2649" t="s">
        <v>1858</v>
      </c>
      <c r="F2649" t="s">
        <v>1748</v>
      </c>
      <c r="H2649" s="165" t="str">
        <f>IF(ISBLANK('Q 5'!I213),"",IF('Q 5'!I213="&lt;please select&gt;","",'Q 5'!I213))</f>
        <v/>
      </c>
    </row>
    <row r="2650" spans="1:8" x14ac:dyDescent="0.3">
      <c r="A2650" t="s">
        <v>1847</v>
      </c>
      <c r="B2650" t="s">
        <v>1855</v>
      </c>
      <c r="C2650">
        <v>12</v>
      </c>
      <c r="D2650" t="s">
        <v>1447</v>
      </c>
      <c r="E2650" t="s">
        <v>1858</v>
      </c>
      <c r="F2650" t="s">
        <v>1748</v>
      </c>
      <c r="H2650" s="165" t="str">
        <f>IF(ISBLANK('Q 5'!I214),"",IF('Q 5'!I214="&lt;please select&gt;","",'Q 5'!I214))</f>
        <v/>
      </c>
    </row>
    <row r="2651" spans="1:8" x14ac:dyDescent="0.3">
      <c r="A2651" t="s">
        <v>1847</v>
      </c>
      <c r="B2651" t="s">
        <v>1855</v>
      </c>
      <c r="C2651">
        <v>13</v>
      </c>
      <c r="D2651" t="s">
        <v>1447</v>
      </c>
      <c r="E2651" t="s">
        <v>1858</v>
      </c>
      <c r="F2651" t="s">
        <v>1748</v>
      </c>
      <c r="H2651" s="165" t="str">
        <f>IF(ISBLANK('Q 5'!I215),"",IF('Q 5'!I215="&lt;please select&gt;","",'Q 5'!I215))</f>
        <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95</v>
      </c>
    </row>
    <row r="3565" spans="1:7" x14ac:dyDescent="0.3">
      <c r="A3565" t="s">
        <v>1866</v>
      </c>
      <c r="B3565" t="s">
        <v>1867</v>
      </c>
      <c r="C3565">
        <v>2</v>
      </c>
      <c r="D3565" t="s">
        <v>1447</v>
      </c>
      <c r="E3565" t="s">
        <v>1868</v>
      </c>
      <c r="F3565" t="s">
        <v>1741</v>
      </c>
      <c r="G3565" t="str">
        <f>IF(ISBLANK('Q 5'!C1038),"",IF('Q 5'!C1038="&lt;please select&gt;","",'Q 5'!C1038))</f>
        <v>95</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natural gas</v>
      </c>
    </row>
    <row r="3675" spans="1:7" x14ac:dyDescent="0.3">
      <c r="A3675" t="s">
        <v>1866</v>
      </c>
      <c r="B3675" t="s">
        <v>1867</v>
      </c>
      <c r="C3675">
        <v>2</v>
      </c>
      <c r="D3675" t="s">
        <v>1447</v>
      </c>
      <c r="E3675" t="s">
        <v>1870</v>
      </c>
      <c r="F3675" t="s">
        <v>1741</v>
      </c>
      <c r="G3675" t="str">
        <f>IF(ISBLANK('Q 5'!E1038),"",IF('Q 5'!E1038="&lt;please select&gt;","",'Q 5'!E1038))</f>
        <v>natural gas</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Net calorific value</v>
      </c>
    </row>
    <row r="3730" spans="1:11" x14ac:dyDescent="0.3">
      <c r="A3730" t="s">
        <v>1866</v>
      </c>
      <c r="B3730" t="s">
        <v>1867</v>
      </c>
      <c r="C3730">
        <v>2</v>
      </c>
      <c r="D3730" t="s">
        <v>1447</v>
      </c>
      <c r="E3730" t="s">
        <v>1871</v>
      </c>
      <c r="F3730" t="s">
        <v>1737</v>
      </c>
      <c r="K3730" t="str">
        <f>IF(ISBLANK('Q 5'!F1038),"",IF('Q 5'!F1038="&lt;please select&gt;","",'Q 5'!F1038))</f>
        <v>Emission factor</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3</v>
      </c>
    </row>
    <row r="3785" spans="1:11" x14ac:dyDescent="0.3">
      <c r="A3785" t="s">
        <v>1866</v>
      </c>
      <c r="B3785" t="s">
        <v>1867</v>
      </c>
      <c r="C3785">
        <v>2</v>
      </c>
      <c r="D3785" t="s">
        <v>1447</v>
      </c>
      <c r="E3785" t="s">
        <v>1872</v>
      </c>
      <c r="F3785" t="s">
        <v>1737</v>
      </c>
      <c r="K3785" t="str">
        <f>IF(ISBLANK('Q 5'!G1038),"",IF('Q 5'!G1038="&lt;please select&gt;","",'Q 5'!G1038))</f>
        <v>Tier 3</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2b</v>
      </c>
    </row>
    <row r="3840" spans="1:11" x14ac:dyDescent="0.3">
      <c r="A3840" t="s">
        <v>1866</v>
      </c>
      <c r="B3840" t="s">
        <v>1867</v>
      </c>
      <c r="C3840">
        <v>2</v>
      </c>
      <c r="D3840" t="s">
        <v>1447</v>
      </c>
      <c r="E3840" t="s">
        <v>1873</v>
      </c>
      <c r="F3840" t="s">
        <v>1737</v>
      </c>
      <c r="K3840" t="str">
        <f>IF(ISBLANK('Q 5'!H1038),"",IF('Q 5'!H1038="&lt;please select&gt;","",'Q 5'!H1038))</f>
        <v>Tier 2a</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Calculation based methodology</v>
      </c>
    </row>
    <row r="3896" spans="1:11" x14ac:dyDescent="0.3">
      <c r="A3896" t="s">
        <v>1874</v>
      </c>
      <c r="B3896" t="s">
        <v>1875</v>
      </c>
      <c r="C3896">
        <v>3</v>
      </c>
      <c r="D3896" t="s">
        <v>1447</v>
      </c>
      <c r="E3896" t="s">
        <v>1876</v>
      </c>
      <c r="F3896" t="s">
        <v>1737</v>
      </c>
      <c r="K3896" t="str">
        <f>IF(ISBLANK('Q 5'!C1100),"",IF('Q 5'!C1100="&lt;please select&gt;","",'Q 5'!C1100))</f>
        <v>Calculation based methodology</v>
      </c>
    </row>
    <row r="3897" spans="1:11" x14ac:dyDescent="0.3">
      <c r="A3897" t="s">
        <v>1874</v>
      </c>
      <c r="B3897" t="s">
        <v>1875</v>
      </c>
      <c r="C3897">
        <v>4</v>
      </c>
      <c r="D3897" t="s">
        <v>1447</v>
      </c>
      <c r="E3897" t="s">
        <v>1876</v>
      </c>
      <c r="F3897" t="s">
        <v>1737</v>
      </c>
      <c r="K3897" t="str">
        <f>IF(ISBLANK('Q 5'!C1101),"",IF('Q 5'!C1101="&lt;please select&gt;","",'Q 5'!C1101))</f>
        <v>Calculation based methodology</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29 - Production of cement clinker in rotary kilns as specified in Annex I of Directive 2003/87/ EC</v>
      </c>
    </row>
    <row r="3917" spans="1:11" x14ac:dyDescent="0.3">
      <c r="A3917" t="s">
        <v>1874</v>
      </c>
      <c r="B3917" t="s">
        <v>1875</v>
      </c>
      <c r="C3917">
        <v>2</v>
      </c>
      <c r="D3917" t="s">
        <v>1447</v>
      </c>
      <c r="E3917" t="s">
        <v>1877</v>
      </c>
      <c r="F3917" t="s">
        <v>1737</v>
      </c>
      <c r="K3917" t="str">
        <f>IF(ISBLANK('Q 5'!E1099),"",IF('Q 5'!E1099="&lt;please select&gt;","",'Q 5'!E1099))</f>
        <v>30 - Production of lime or calcination of dolomite or magnesite as specified in Annex I of Directive 2003/87/ EC</v>
      </c>
    </row>
    <row r="3918" spans="1:11" x14ac:dyDescent="0.3">
      <c r="A3918" t="s">
        <v>1874</v>
      </c>
      <c r="B3918" t="s">
        <v>1875</v>
      </c>
      <c r="C3918">
        <v>3</v>
      </c>
      <c r="D3918" t="s">
        <v>1447</v>
      </c>
      <c r="E3918" t="s">
        <v>1877</v>
      </c>
      <c r="F3918" t="s">
        <v>1737</v>
      </c>
      <c r="K3918" t="str">
        <f>IF(ISBLANK('Q 5'!E1100),"",IF('Q 5'!E1100="&lt;please select&gt;","",'Q 5'!E1100))</f>
        <v>20 - Combustion of fuels as specified in Annex I of Directive 2003/87/EC</v>
      </c>
    </row>
    <row r="3919" spans="1:11" x14ac:dyDescent="0.3">
      <c r="A3919" t="s">
        <v>1874</v>
      </c>
      <c r="B3919" t="s">
        <v>1875</v>
      </c>
      <c r="C3919">
        <v>4</v>
      </c>
      <c r="D3919" t="s">
        <v>1447</v>
      </c>
      <c r="E3919" t="s">
        <v>1877</v>
      </c>
      <c r="F3919" t="s">
        <v>1737</v>
      </c>
      <c r="K3919" t="str">
        <f>IF(ISBLANK('Q 5'!E1101),"",IF('Q 5'!E1101="&lt;please select&gt;","",'Q 5'!E1101))</f>
        <v>31 - Manufacture of glass as specified in Annex I of Directive 2003/87/EC</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1</v>
      </c>
    </row>
    <row r="3939" spans="1:11" x14ac:dyDescent="0.3">
      <c r="A3939" t="s">
        <v>1874</v>
      </c>
      <c r="B3939" t="s">
        <v>1875</v>
      </c>
      <c r="C3939">
        <v>2</v>
      </c>
      <c r="D3939" t="s">
        <v>1447</v>
      </c>
      <c r="E3939" t="s">
        <v>1878</v>
      </c>
      <c r="F3939" t="s">
        <v>1748</v>
      </c>
      <c r="H3939" s="165" t="str">
        <f>IF(ISBLANK('Q 5'!H1099),"",IF('Q 5'!H1099="&lt;please select&gt;","",'Q 5'!H1099))</f>
        <v>1</v>
      </c>
    </row>
    <row r="3940" spans="1:11" x14ac:dyDescent="0.3">
      <c r="A3940" t="s">
        <v>1874</v>
      </c>
      <c r="B3940" t="s">
        <v>1875</v>
      </c>
      <c r="C3940">
        <v>3</v>
      </c>
      <c r="D3940" t="s">
        <v>1447</v>
      </c>
      <c r="E3940" t="s">
        <v>1878</v>
      </c>
      <c r="F3940" t="s">
        <v>1748</v>
      </c>
      <c r="H3940" s="165" t="str">
        <f>IF(ISBLANK('Q 5'!H1100),"",IF('Q 5'!H1100="&lt;please select&gt;","",'Q 5'!H1100))</f>
        <v>1</v>
      </c>
    </row>
    <row r="3941" spans="1:11" x14ac:dyDescent="0.3">
      <c r="A3941" t="s">
        <v>1874</v>
      </c>
      <c r="B3941" t="s">
        <v>1875</v>
      </c>
      <c r="C3941">
        <v>4</v>
      </c>
      <c r="D3941" t="s">
        <v>1447</v>
      </c>
      <c r="E3941" t="s">
        <v>1878</v>
      </c>
      <c r="F3941" t="s">
        <v>1748</v>
      </c>
      <c r="H3941" s="165" t="str">
        <f>IF(ISBLANK('Q 5'!H1101),"",IF('Q 5'!H1101="&lt;please select&gt;","",'Q 5'!H1101))</f>
        <v>1</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Yes</v>
      </c>
    </row>
    <row r="3961" spans="1:11" x14ac:dyDescent="0.3">
      <c r="A3961" t="s">
        <v>1879</v>
      </c>
      <c r="B3961" t="s">
        <v>1881</v>
      </c>
      <c r="C3961">
        <v>1</v>
      </c>
      <c r="D3961" t="s">
        <v>1447</v>
      </c>
      <c r="E3961" t="s">
        <v>1882</v>
      </c>
      <c r="F3961" t="s">
        <v>1741</v>
      </c>
      <c r="G3961" t="str">
        <f>IF(ISBLANK('Q 5'!C1127),"",IF('Q 5'!C1127="&lt;please select&gt;","",'Q 5'!C1127))</f>
        <v>152</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Applying tier 1 is technically infeasible or leads to unreasonable costs for one minor source stream</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Quantity of fuel</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9</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B</v>
      </c>
    </row>
    <row r="4002" spans="1:11" x14ac:dyDescent="0.3">
      <c r="A4002" t="s">
        <v>1886</v>
      </c>
      <c r="B4002" t="s">
        <v>1887</v>
      </c>
      <c r="C4002">
        <v>2</v>
      </c>
      <c r="D4002" t="s">
        <v>1447</v>
      </c>
      <c r="E4002" t="s">
        <v>1856</v>
      </c>
      <c r="F4002" t="s">
        <v>1737</v>
      </c>
      <c r="K4002" t="str">
        <f>IF(ISBLANK('Q 5'!C1145),"",IF('Q 5'!C1145="&lt;please select&gt;","",'Q 5'!C1145))</f>
        <v>Category C</v>
      </c>
    </row>
    <row r="4003" spans="1:11" x14ac:dyDescent="0.3">
      <c r="A4003" t="s">
        <v>1886</v>
      </c>
      <c r="B4003" t="s">
        <v>1887</v>
      </c>
      <c r="C4003">
        <v>3</v>
      </c>
      <c r="D4003" t="s">
        <v>1447</v>
      </c>
      <c r="E4003" t="s">
        <v>1856</v>
      </c>
      <c r="F4003" t="s">
        <v>1737</v>
      </c>
      <c r="K4003" t="str">
        <f>IF(ISBLANK('Q 5'!C1146),"",IF('Q 5'!C1146="&lt;please select&gt;","",'Q 5'!C1146))</f>
        <v>Category C</v>
      </c>
    </row>
    <row r="4004" spans="1:11" x14ac:dyDescent="0.3">
      <c r="A4004" t="s">
        <v>1886</v>
      </c>
      <c r="B4004" t="s">
        <v>1887</v>
      </c>
      <c r="C4004">
        <v>4</v>
      </c>
      <c r="D4004" t="s">
        <v>1447</v>
      </c>
      <c r="E4004" t="s">
        <v>1856</v>
      </c>
      <c r="F4004" t="s">
        <v>1737</v>
      </c>
      <c r="K4004" t="str">
        <f>IF(ISBLANK('Q 5'!C1147),"",IF('Q 5'!C1147="&lt;please select&gt;","",'Q 5'!C1147))</f>
        <v/>
      </c>
    </row>
    <row r="4005" spans="1:11" x14ac:dyDescent="0.3">
      <c r="A4005" t="s">
        <v>1886</v>
      </c>
      <c r="B4005" t="s">
        <v>1887</v>
      </c>
      <c r="C4005">
        <v>5</v>
      </c>
      <c r="D4005" t="s">
        <v>1447</v>
      </c>
      <c r="E4005" t="s">
        <v>1856</v>
      </c>
      <c r="F4005" t="s">
        <v>1737</v>
      </c>
      <c r="K4005" t="str">
        <f>IF(ISBLANK('Q 5'!C1148),"",IF('Q 5'!C1148="&lt;please select&gt;","",'Q 5'!C1148))</f>
        <v/>
      </c>
    </row>
    <row r="4006" spans="1:11" x14ac:dyDescent="0.3">
      <c r="A4006" t="s">
        <v>1886</v>
      </c>
      <c r="B4006" t="s">
        <v>1887</v>
      </c>
      <c r="C4006">
        <v>6</v>
      </c>
      <c r="D4006" t="s">
        <v>1447</v>
      </c>
      <c r="E4006" t="s">
        <v>1856</v>
      </c>
      <c r="F4006" t="s">
        <v>1737</v>
      </c>
      <c r="K4006" t="str">
        <f>IF(ISBLANK('Q 5'!C1149),"",IF('Q 5'!C1149="&lt;please select&gt;","",'Q 5'!C1149))</f>
        <v/>
      </c>
    </row>
    <row r="4007" spans="1:11" x14ac:dyDescent="0.3">
      <c r="A4007" t="s">
        <v>1886</v>
      </c>
      <c r="B4007" t="s">
        <v>1887</v>
      </c>
      <c r="C4007">
        <v>7</v>
      </c>
      <c r="D4007" t="s">
        <v>1447</v>
      </c>
      <c r="E4007" t="s">
        <v>1856</v>
      </c>
      <c r="F4007" t="s">
        <v>1737</v>
      </c>
      <c r="K4007" t="str">
        <f>IF(ISBLANK('Q 5'!C1150),"",IF('Q 5'!C1150="&lt;please select&gt;","",'Q 5'!C1150))</f>
        <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29 - Production of cement clinker in rotary kilns as specified in Annex I of Directive 2003/87/ 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44 - Production of soda ash (Na2CO3) and sodium bicarbonate (NaHCO3)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
      </c>
    </row>
    <row r="4075" spans="1:11" x14ac:dyDescent="0.3">
      <c r="A4075" t="s">
        <v>1886</v>
      </c>
      <c r="B4075" t="s">
        <v>1887</v>
      </c>
      <c r="C4075">
        <v>5</v>
      </c>
      <c r="D4075" t="s">
        <v>1447</v>
      </c>
      <c r="E4075" t="s">
        <v>1888</v>
      </c>
      <c r="F4075" t="s">
        <v>1737</v>
      </c>
      <c r="K4075" t="str">
        <f>IF(ISBLANK('Q 5'!D1148),"",IF('Q 5'!D1148="&lt;please select&gt;","",'Q 5'!D1148))</f>
        <v/>
      </c>
    </row>
    <row r="4076" spans="1:11" x14ac:dyDescent="0.3">
      <c r="A4076" t="s">
        <v>1886</v>
      </c>
      <c r="B4076" t="s">
        <v>1887</v>
      </c>
      <c r="C4076">
        <v>6</v>
      </c>
      <c r="D4076" t="s">
        <v>1447</v>
      </c>
      <c r="E4076" t="s">
        <v>1888</v>
      </c>
      <c r="F4076" t="s">
        <v>1737</v>
      </c>
      <c r="K4076" t="str">
        <f>IF(ISBLANK('Q 5'!D1149),"",IF('Q 5'!D1149="&lt;please select&gt;","",'Q 5'!D1149))</f>
        <v/>
      </c>
    </row>
    <row r="4077" spans="1:11" x14ac:dyDescent="0.3">
      <c r="A4077" t="s">
        <v>1886</v>
      </c>
      <c r="B4077" t="s">
        <v>1887</v>
      </c>
      <c r="C4077">
        <v>7</v>
      </c>
      <c r="D4077" t="s">
        <v>1447</v>
      </c>
      <c r="E4077" t="s">
        <v>1888</v>
      </c>
      <c r="F4077" t="s">
        <v>1737</v>
      </c>
      <c r="K4077" t="str">
        <f>IF(ISBLANK('Q 5'!D1150),"",IF('Q 5'!D1150="&lt;please select&gt;","",'Q 5'!D1150))</f>
        <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in accordance with Article 69(1)</v>
      </c>
    </row>
    <row r="4144" spans="1:11" x14ac:dyDescent="0.3">
      <c r="A4144" t="s">
        <v>1886</v>
      </c>
      <c r="B4144" t="s">
        <v>1887</v>
      </c>
      <c r="C4144">
        <v>4</v>
      </c>
      <c r="D4144" t="s">
        <v>1447</v>
      </c>
      <c r="E4144" t="s">
        <v>1889</v>
      </c>
      <c r="F4144" t="s">
        <v>1737</v>
      </c>
      <c r="K4144" t="str">
        <f>IF(ISBLANK('Q 5'!F1147),"",IF('Q 5'!F1147="&lt;please select&gt;","",'Q 5'!F1147))</f>
        <v/>
      </c>
    </row>
    <row r="4145" spans="1:11" x14ac:dyDescent="0.3">
      <c r="A4145" t="s">
        <v>1886</v>
      </c>
      <c r="B4145" t="s">
        <v>1887</v>
      </c>
      <c r="C4145">
        <v>5</v>
      </c>
      <c r="D4145" t="s">
        <v>1447</v>
      </c>
      <c r="E4145" t="s">
        <v>1889</v>
      </c>
      <c r="F4145" t="s">
        <v>1737</v>
      </c>
      <c r="K4145" t="str">
        <f>IF(ISBLANK('Q 5'!F1148),"",IF('Q 5'!F1148="&lt;please select&gt;","",'Q 5'!F1148))</f>
        <v/>
      </c>
    </row>
    <row r="4146" spans="1:11" x14ac:dyDescent="0.3">
      <c r="A4146" t="s">
        <v>1886</v>
      </c>
      <c r="B4146" t="s">
        <v>1887</v>
      </c>
      <c r="C4146">
        <v>6</v>
      </c>
      <c r="D4146" t="s">
        <v>1447</v>
      </c>
      <c r="E4146" t="s">
        <v>1889</v>
      </c>
      <c r="F4146" t="s">
        <v>1737</v>
      </c>
      <c r="K4146" t="str">
        <f>IF(ISBLANK('Q 5'!F1149),"",IF('Q 5'!F1149="&lt;please select&gt;","",'Q 5'!F1149))</f>
        <v/>
      </c>
    </row>
    <row r="4147" spans="1:11" x14ac:dyDescent="0.3">
      <c r="A4147" t="s">
        <v>1886</v>
      </c>
      <c r="B4147" t="s">
        <v>1887</v>
      </c>
      <c r="C4147">
        <v>7</v>
      </c>
      <c r="D4147" t="s">
        <v>1447</v>
      </c>
      <c r="E4147" t="s">
        <v>1889</v>
      </c>
      <c r="F4147" t="s">
        <v>1737</v>
      </c>
      <c r="K4147" t="str">
        <f>IF(ISBLANK('Q 5'!F1150),"",IF('Q 5'!F1150="&lt;please select&gt;","",'Q 5'!F1150))</f>
        <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1</v>
      </c>
    </row>
    <row r="4212" spans="1:11" x14ac:dyDescent="0.3">
      <c r="A4212" t="s">
        <v>1886</v>
      </c>
      <c r="B4212" t="s">
        <v>1887</v>
      </c>
      <c r="C4212">
        <v>2</v>
      </c>
      <c r="D4212" t="s">
        <v>1447</v>
      </c>
      <c r="E4212" t="s">
        <v>1890</v>
      </c>
      <c r="F4212" t="s">
        <v>1748</v>
      </c>
      <c r="H4212" t="str">
        <f>IF(ISBLANK('Q 5'!H1145),"",IF('Q 5'!H1145="&lt;please select&gt;","",'Q 5'!H1145))</f>
        <v>2</v>
      </c>
    </row>
    <row r="4213" spans="1:11" x14ac:dyDescent="0.3">
      <c r="A4213" t="s">
        <v>1886</v>
      </c>
      <c r="B4213" t="s">
        <v>1887</v>
      </c>
      <c r="C4213">
        <v>3</v>
      </c>
      <c r="D4213" t="s">
        <v>1447</v>
      </c>
      <c r="E4213" t="s">
        <v>1890</v>
      </c>
      <c r="F4213" t="s">
        <v>1748</v>
      </c>
      <c r="H4213" t="str">
        <f>IF(ISBLANK('Q 5'!H1146),"",IF('Q 5'!H1146="&lt;please select&gt;","",'Q 5'!H1146))</f>
        <v>1</v>
      </c>
    </row>
    <row r="4214" spans="1:11" x14ac:dyDescent="0.3">
      <c r="A4214" t="s">
        <v>1886</v>
      </c>
      <c r="B4214" t="s">
        <v>1887</v>
      </c>
      <c r="C4214">
        <v>4</v>
      </c>
      <c r="D4214" t="s">
        <v>1447</v>
      </c>
      <c r="E4214" t="s">
        <v>1890</v>
      </c>
      <c r="F4214" t="s">
        <v>1748</v>
      </c>
      <c r="H4214" t="str">
        <f>IF(ISBLANK('Q 5'!H1147),"",IF('Q 5'!H1147="&lt;please select&gt;","",'Q 5'!H1147))</f>
        <v/>
      </c>
    </row>
    <row r="4215" spans="1:11" x14ac:dyDescent="0.3">
      <c r="A4215" t="s">
        <v>1886</v>
      </c>
      <c r="B4215" t="s">
        <v>1887</v>
      </c>
      <c r="C4215">
        <v>5</v>
      </c>
      <c r="D4215" t="s">
        <v>1447</v>
      </c>
      <c r="E4215" t="s">
        <v>1890</v>
      </c>
      <c r="F4215" t="s">
        <v>1748</v>
      </c>
      <c r="H4215" t="str">
        <f>IF(ISBLANK('Q 5'!H1148),"",IF('Q 5'!H1148="&lt;please select&gt;","",'Q 5'!H1148))</f>
        <v/>
      </c>
    </row>
    <row r="4216" spans="1:11" x14ac:dyDescent="0.3">
      <c r="A4216" t="s">
        <v>1886</v>
      </c>
      <c r="B4216" t="s">
        <v>1887</v>
      </c>
      <c r="C4216">
        <v>6</v>
      </c>
      <c r="D4216" t="s">
        <v>1447</v>
      </c>
      <c r="E4216" t="s">
        <v>1890</v>
      </c>
      <c r="F4216" t="s">
        <v>1748</v>
      </c>
      <c r="H4216" t="str">
        <f>IF(ISBLANK('Q 5'!H1149),"",IF('Q 5'!H1149="&lt;please select&gt;","",'Q 5'!H1149))</f>
        <v/>
      </c>
    </row>
    <row r="4217" spans="1:11" x14ac:dyDescent="0.3">
      <c r="A4217" t="s">
        <v>1886</v>
      </c>
      <c r="B4217" t="s">
        <v>1887</v>
      </c>
      <c r="C4217">
        <v>7</v>
      </c>
      <c r="D4217" t="s">
        <v>1447</v>
      </c>
      <c r="E4217" t="s">
        <v>1890</v>
      </c>
      <c r="F4217" t="s">
        <v>1748</v>
      </c>
      <c r="H4217" t="str">
        <f>IF(ISBLANK('Q 5'!H1150),"",IF('Q 5'!H1150="&lt;please select&gt;","",'Q 5'!H1150))</f>
        <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0</v>
      </c>
    </row>
    <row r="4282" spans="1:8" x14ac:dyDescent="0.3">
      <c r="A4282" t="s">
        <v>1886</v>
      </c>
      <c r="B4282" t="s">
        <v>1887</v>
      </c>
      <c r="C4282">
        <v>2</v>
      </c>
      <c r="D4282" t="s">
        <v>1447</v>
      </c>
      <c r="E4282" t="s">
        <v>1891</v>
      </c>
      <c r="F4282" t="s">
        <v>1748</v>
      </c>
      <c r="H4282" t="str">
        <f>IF(ISBLANK('Q 5'!I1145),"",IF('Q 5'!I1145="&lt;please select&gt;","",'Q 5'!I1145))</f>
        <v>1</v>
      </c>
    </row>
    <row r="4283" spans="1:8" x14ac:dyDescent="0.3">
      <c r="A4283" t="s">
        <v>1886</v>
      </c>
      <c r="B4283" t="s">
        <v>1887</v>
      </c>
      <c r="C4283">
        <v>3</v>
      </c>
      <c r="D4283" t="s">
        <v>1447</v>
      </c>
      <c r="E4283" t="s">
        <v>1891</v>
      </c>
      <c r="F4283" t="s">
        <v>1748</v>
      </c>
      <c r="H4283" t="str">
        <f>IF(ISBLANK('Q 5'!I1146),"",IF('Q 5'!I1146="&lt;please select&gt;","",'Q 5'!I1146))</f>
        <v>1</v>
      </c>
    </row>
    <row r="4284" spans="1:8" x14ac:dyDescent="0.3">
      <c r="A4284" t="s">
        <v>1886</v>
      </c>
      <c r="B4284" t="s">
        <v>1887</v>
      </c>
      <c r="C4284">
        <v>4</v>
      </c>
      <c r="D4284" t="s">
        <v>1447</v>
      </c>
      <c r="E4284" t="s">
        <v>1891</v>
      </c>
      <c r="F4284" t="s">
        <v>1748</v>
      </c>
      <c r="H4284" t="str">
        <f>IF(ISBLANK('Q 5'!I1147),"",IF('Q 5'!I1147="&lt;please select&gt;","",'Q 5'!I1147))</f>
        <v/>
      </c>
    </row>
    <row r="4285" spans="1:8" x14ac:dyDescent="0.3">
      <c r="A4285" t="s">
        <v>1886</v>
      </c>
      <c r="B4285" t="s">
        <v>1887</v>
      </c>
      <c r="C4285">
        <v>5</v>
      </c>
      <c r="D4285" t="s">
        <v>1447</v>
      </c>
      <c r="E4285" t="s">
        <v>1891</v>
      </c>
      <c r="F4285" t="s">
        <v>1748</v>
      </c>
      <c r="H4285" t="str">
        <f>IF(ISBLANK('Q 5'!I1148),"",IF('Q 5'!I1148="&lt;please select&gt;","",'Q 5'!I1148))</f>
        <v/>
      </c>
    </row>
    <row r="4286" spans="1:8" x14ac:dyDescent="0.3">
      <c r="A4286" t="s">
        <v>1886</v>
      </c>
      <c r="B4286" t="s">
        <v>1887</v>
      </c>
      <c r="C4286">
        <v>6</v>
      </c>
      <c r="D4286" t="s">
        <v>1447</v>
      </c>
      <c r="E4286" t="s">
        <v>1891</v>
      </c>
      <c r="F4286" t="s">
        <v>1748</v>
      </c>
      <c r="H4286" t="str">
        <f>IF(ISBLANK('Q 5'!I1149),"",IF('Q 5'!I1149="&lt;please select&gt;","",'Q 5'!I1149))</f>
        <v/>
      </c>
    </row>
    <row r="4287" spans="1:8" x14ac:dyDescent="0.3">
      <c r="A4287" t="s">
        <v>1886</v>
      </c>
      <c r="B4287" t="s">
        <v>1887</v>
      </c>
      <c r="C4287">
        <v>7</v>
      </c>
      <c r="D4287" t="s">
        <v>1447</v>
      </c>
      <c r="E4287" t="s">
        <v>1891</v>
      </c>
      <c r="F4287" t="s">
        <v>1748</v>
      </c>
      <c r="H4287" t="str">
        <f>IF(ISBLANK('Q 5'!I1150),"",IF('Q 5'!I1150="&lt;please select&gt;","",'Q 5'!I1150))</f>
        <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130</v>
      </c>
    </row>
    <row r="5033" spans="1:11" x14ac:dyDescent="0.3">
      <c r="A5033" t="s">
        <v>1902</v>
      </c>
      <c r="B5033" t="s">
        <v>1904</v>
      </c>
      <c r="C5033">
        <v>2</v>
      </c>
      <c r="D5033" t="s">
        <v>1447</v>
      </c>
      <c r="E5033" t="s">
        <v>1905</v>
      </c>
      <c r="F5033" t="s">
        <v>1741</v>
      </c>
      <c r="G5033" t="str">
        <f>IF(ISBLANK('Q 5'!C1328),"",IF('Q 5'!C1328="&lt;please select&gt;","",'Q 5'!C1328))</f>
        <v>33</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130</v>
      </c>
    </row>
    <row r="5083" spans="1:7" x14ac:dyDescent="0.3">
      <c r="A5083" t="s">
        <v>1902</v>
      </c>
      <c r="B5083" t="s">
        <v>1904</v>
      </c>
      <c r="C5083">
        <v>2</v>
      </c>
      <c r="D5083" t="s">
        <v>1447</v>
      </c>
      <c r="E5083" t="s">
        <v>1906</v>
      </c>
      <c r="F5083" t="s">
        <v>1741</v>
      </c>
      <c r="G5083" t="str">
        <f>IF(ISBLANK('Q 5'!E1328),"",IF('Q 5'!E1328="&lt;please select&gt;","",'Q 5'!E1328))</f>
        <v>33</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681436</v>
      </c>
    </row>
    <row r="5133" spans="1:9" x14ac:dyDescent="0.3">
      <c r="A5133" t="s">
        <v>1902</v>
      </c>
      <c r="B5133" t="s">
        <v>1904</v>
      </c>
      <c r="C5133">
        <v>2</v>
      </c>
      <c r="D5133" t="s">
        <v>1447</v>
      </c>
      <c r="E5133" t="s">
        <v>1907</v>
      </c>
      <c r="F5133" t="s">
        <v>1806</v>
      </c>
      <c r="I5133" s="165" t="str">
        <f>IF(ISBLANK('Q 5'!G1328),"",IF('Q 5'!G1328="&lt;please select&gt;","",'Q 5'!G1328))</f>
        <v>94370</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28724</v>
      </c>
    </row>
    <row r="5183" spans="1:9" x14ac:dyDescent="0.3">
      <c r="A5183" t="s">
        <v>1902</v>
      </c>
      <c r="B5183" t="s">
        <v>1904</v>
      </c>
      <c r="C5183">
        <v>2</v>
      </c>
      <c r="D5183" t="s">
        <v>1447</v>
      </c>
      <c r="E5183" t="s">
        <v>1908</v>
      </c>
      <c r="F5183" t="s">
        <v>1806</v>
      </c>
      <c r="I5183" s="165" t="str">
        <f>IF(ISBLANK('Q 5'!H1328),"",IF('Q 5'!H1328="&lt;please select&gt;","",'Q 5'!H1328))</f>
        <v>44274</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32 - Manufacture of ceramic products as specified in Annex I of Directive 2003/87/EC</v>
      </c>
    </row>
    <row r="5287" spans="1:11" x14ac:dyDescent="0.3">
      <c r="A5287" t="s">
        <v>1910</v>
      </c>
      <c r="B5287" t="s">
        <v>1912</v>
      </c>
      <c r="C5287">
        <v>5</v>
      </c>
      <c r="D5287" t="s">
        <v>1447</v>
      </c>
      <c r="E5287" t="s">
        <v>1888</v>
      </c>
      <c r="F5287" t="s">
        <v>1737</v>
      </c>
      <c r="K5287" t="str">
        <f>IF(ISBLANK('Q 5'!C1393),"",IF('Q 5'!C1393="&lt;please select&gt;","",'Q 5'!C1393))</f>
        <v>29 - Production of cement clinker in rotary kilns as specified in Annex I of Directive 2003/87/ EC</v>
      </c>
    </row>
    <row r="5288" spans="1:11" x14ac:dyDescent="0.3">
      <c r="A5288" t="s">
        <v>1910</v>
      </c>
      <c r="B5288" t="s">
        <v>1912</v>
      </c>
      <c r="C5288">
        <v>6</v>
      </c>
      <c r="D5288" t="s">
        <v>1447</v>
      </c>
      <c r="E5288" t="s">
        <v>1888</v>
      </c>
      <c r="F5288" t="s">
        <v>1737</v>
      </c>
      <c r="K5288" t="str">
        <f>IF(ISBLANK('Q 5'!C1394),"",IF('Q 5'!C1394="&lt;please select&gt;","",'Q 5'!C1394))</f>
        <v>29 - Production of cement clinker in rotary kilns as specified in Annex I of Directive 2003/87/ EC</v>
      </c>
    </row>
    <row r="5289" spans="1:11" x14ac:dyDescent="0.3">
      <c r="A5289" t="s">
        <v>1910</v>
      </c>
      <c r="B5289" t="s">
        <v>1912</v>
      </c>
      <c r="C5289">
        <v>7</v>
      </c>
      <c r="D5289" t="s">
        <v>1447</v>
      </c>
      <c r="E5289" t="s">
        <v>1888</v>
      </c>
      <c r="F5289" t="s">
        <v>1737</v>
      </c>
      <c r="K5289" t="str">
        <f>IF(ISBLANK('Q 5'!C1395),"",IF('Q 5'!C1395="&lt;please select&gt;","",'Q 5'!C1395))</f>
        <v xml:space="preserve">36 - Production of paper or cardboard as specified in Annex I of Directive 2003/87/EC </v>
      </c>
    </row>
    <row r="5290" spans="1:11" x14ac:dyDescent="0.3">
      <c r="A5290" t="s">
        <v>1910</v>
      </c>
      <c r="B5290" t="s">
        <v>1912</v>
      </c>
      <c r="C5290">
        <v>8</v>
      </c>
      <c r="D5290" t="s">
        <v>1447</v>
      </c>
      <c r="E5290" t="s">
        <v>1888</v>
      </c>
      <c r="F5290" t="s">
        <v>1737</v>
      </c>
      <c r="K5290" t="str">
        <f>IF(ISBLANK('Q 5'!C1396),"",IF('Q 5'!C1396="&lt;please select&gt;","",'Q 5'!C1396))</f>
        <v xml:space="preserve">38 - Production of nitric acid </v>
      </c>
    </row>
    <row r="5291" spans="1:11" x14ac:dyDescent="0.3">
      <c r="A5291" t="s">
        <v>1910</v>
      </c>
      <c r="B5291" t="s">
        <v>1912</v>
      </c>
      <c r="C5291">
        <v>9</v>
      </c>
      <c r="D5291" t="s">
        <v>1447</v>
      </c>
      <c r="E5291" t="s">
        <v>1888</v>
      </c>
      <c r="F5291" t="s">
        <v>1737</v>
      </c>
      <c r="K5291" t="str">
        <f>IF(ISBLANK('Q 5'!C1397),"",IF('Q 5'!C1397="&lt;please select&gt;","",'Q 5'!C1397))</f>
        <v>44 - Production of soda ash (Na2CO3) and sodium bicarbonate (NaHCO3) as specified in Annex I of Directive 2003/87/EC</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Category A</v>
      </c>
    </row>
    <row r="5337" spans="1:11" x14ac:dyDescent="0.3">
      <c r="A5337" t="s">
        <v>1910</v>
      </c>
      <c r="B5337" t="s">
        <v>1912</v>
      </c>
      <c r="C5337">
        <v>5</v>
      </c>
      <c r="D5337" t="s">
        <v>1447</v>
      </c>
      <c r="E5337" t="s">
        <v>1913</v>
      </c>
      <c r="F5337" t="s">
        <v>1737</v>
      </c>
      <c r="K5337" t="str">
        <f>IF(ISBLANK('Q 5'!D1393),"",IF('Q 5'!D1393="&lt;please select&gt;","",'Q 5'!D1393))</f>
        <v>Category B</v>
      </c>
    </row>
    <row r="5338" spans="1:11" x14ac:dyDescent="0.3">
      <c r="A5338" t="s">
        <v>1910</v>
      </c>
      <c r="B5338" t="s">
        <v>1912</v>
      </c>
      <c r="C5338">
        <v>6</v>
      </c>
      <c r="D5338" t="s">
        <v>1447</v>
      </c>
      <c r="E5338" t="s">
        <v>1913</v>
      </c>
      <c r="F5338" t="s">
        <v>1737</v>
      </c>
      <c r="K5338" t="str">
        <f>IF(ISBLANK('Q 5'!D1394),"",IF('Q 5'!D1394="&lt;please select&gt;","",'Q 5'!D1394))</f>
        <v>Category C</v>
      </c>
    </row>
    <row r="5339" spans="1:11" x14ac:dyDescent="0.3">
      <c r="A5339" t="s">
        <v>1910</v>
      </c>
      <c r="B5339" t="s">
        <v>1912</v>
      </c>
      <c r="C5339">
        <v>7</v>
      </c>
      <c r="D5339" t="s">
        <v>1447</v>
      </c>
      <c r="E5339" t="s">
        <v>1913</v>
      </c>
      <c r="F5339" t="s">
        <v>1737</v>
      </c>
      <c r="K5339" t="str">
        <f>IF(ISBLANK('Q 5'!D1395),"",IF('Q 5'!D1395="&lt;please select&gt;","",'Q 5'!D1395))</f>
        <v>Category A</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Category C</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10</v>
      </c>
    </row>
    <row r="5384" spans="1:11" x14ac:dyDescent="0.3">
      <c r="A5384" t="s">
        <v>1910</v>
      </c>
      <c r="B5384" t="s">
        <v>1912</v>
      </c>
      <c r="C5384">
        <v>2</v>
      </c>
      <c r="D5384" t="s">
        <v>1447</v>
      </c>
      <c r="E5384" t="s">
        <v>1914</v>
      </c>
      <c r="F5384" t="s">
        <v>1748</v>
      </c>
      <c r="H5384" t="str">
        <f>IF(ISBLANK('Q 5'!E1390),"",IF('Q 5'!E1390="&lt;please select&gt;","",'Q 5'!E1390))</f>
        <v>5</v>
      </c>
    </row>
    <row r="5385" spans="1:11" x14ac:dyDescent="0.3">
      <c r="A5385" t="s">
        <v>1910</v>
      </c>
      <c r="B5385" t="s">
        <v>1912</v>
      </c>
      <c r="C5385">
        <v>3</v>
      </c>
      <c r="D5385" t="s">
        <v>1447</v>
      </c>
      <c r="E5385" t="s">
        <v>1914</v>
      </c>
      <c r="F5385" t="s">
        <v>1748</v>
      </c>
      <c r="H5385" t="str">
        <f>IF(ISBLANK('Q 5'!E1391),"",IF('Q 5'!E1391="&lt;please select&gt;","",'Q 5'!E1391))</f>
        <v>6</v>
      </c>
    </row>
    <row r="5386" spans="1:11" x14ac:dyDescent="0.3">
      <c r="A5386" t="s">
        <v>1910</v>
      </c>
      <c r="B5386" t="s">
        <v>1912</v>
      </c>
      <c r="C5386">
        <v>4</v>
      </c>
      <c r="D5386" t="s">
        <v>1447</v>
      </c>
      <c r="E5386" t="s">
        <v>1914</v>
      </c>
      <c r="F5386" t="s">
        <v>1748</v>
      </c>
      <c r="H5386" t="str">
        <f>IF(ISBLANK('Q 5'!E1392),"",IF('Q 5'!E1392="&lt;please select&gt;","",'Q 5'!E1392))</f>
        <v>5</v>
      </c>
    </row>
    <row r="5387" spans="1:11" x14ac:dyDescent="0.3">
      <c r="A5387" t="s">
        <v>1910</v>
      </c>
      <c r="B5387" t="s">
        <v>1912</v>
      </c>
      <c r="C5387">
        <v>5</v>
      </c>
      <c r="D5387" t="s">
        <v>1447</v>
      </c>
      <c r="E5387" t="s">
        <v>1914</v>
      </c>
      <c r="F5387" t="s">
        <v>1748</v>
      </c>
      <c r="H5387" t="str">
        <f>IF(ISBLANK('Q 5'!E1393),"",IF('Q 5'!E1393="&lt;please select&gt;","",'Q 5'!E1393))</f>
        <v>3</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1</v>
      </c>
    </row>
    <row r="5390" spans="1:11" x14ac:dyDescent="0.3">
      <c r="A5390" t="s">
        <v>1910</v>
      </c>
      <c r="B5390" t="s">
        <v>1912</v>
      </c>
      <c r="C5390">
        <v>8</v>
      </c>
      <c r="D5390" t="s">
        <v>1447</v>
      </c>
      <c r="E5390" t="s">
        <v>1914</v>
      </c>
      <c r="F5390" t="s">
        <v>1748</v>
      </c>
      <c r="H5390" t="str">
        <f>IF(ISBLANK('Q 5'!E1396),"",IF('Q 5'!E1396="&lt;please select&gt;","",'Q 5'!E1396))</f>
        <v>1</v>
      </c>
    </row>
    <row r="5391" spans="1:11" x14ac:dyDescent="0.3">
      <c r="A5391" t="s">
        <v>1910</v>
      </c>
      <c r="B5391" t="s">
        <v>1912</v>
      </c>
      <c r="C5391">
        <v>9</v>
      </c>
      <c r="D5391" t="s">
        <v>1447</v>
      </c>
      <c r="E5391" t="s">
        <v>1914</v>
      </c>
      <c r="F5391" t="s">
        <v>1748</v>
      </c>
      <c r="H5391" t="str">
        <f>IF(ISBLANK('Q 5'!E1397),"",IF('Q 5'!E1397="&lt;please select&gt;","",'Q 5'!E1397))</f>
        <v>1</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649584.974285984</v>
      </c>
    </row>
    <row r="5434" spans="1:9" x14ac:dyDescent="0.3">
      <c r="A5434" t="s">
        <v>1910</v>
      </c>
      <c r="B5434" t="s">
        <v>1912</v>
      </c>
      <c r="C5434">
        <v>2</v>
      </c>
      <c r="D5434" t="s">
        <v>1447</v>
      </c>
      <c r="E5434" t="s">
        <v>1915</v>
      </c>
      <c r="F5434" t="s">
        <v>1806</v>
      </c>
      <c r="I5434" t="str">
        <f>IF(ISBLANK('Q 5'!F1390),"",IF('Q 5'!F1390="&lt;please select&gt;","",'Q 5'!F1390))</f>
        <v>369751.197912469</v>
      </c>
    </row>
    <row r="5435" spans="1:9" x14ac:dyDescent="0.3">
      <c r="A5435" t="s">
        <v>1910</v>
      </c>
      <c r="B5435" t="s">
        <v>1912</v>
      </c>
      <c r="C5435">
        <v>3</v>
      </c>
      <c r="D5435" t="s">
        <v>1447</v>
      </c>
      <c r="E5435" t="s">
        <v>1915</v>
      </c>
      <c r="F5435" t="s">
        <v>1806</v>
      </c>
      <c r="I5435" t="str">
        <f>IF(ISBLANK('Q 5'!F1391),"",IF('Q 5'!F1391="&lt;please select&gt;","",'Q 5'!F1391))</f>
        <v>993686.75926</v>
      </c>
    </row>
    <row r="5436" spans="1:9" x14ac:dyDescent="0.3">
      <c r="A5436" t="s">
        <v>1910</v>
      </c>
      <c r="B5436" t="s">
        <v>1912</v>
      </c>
      <c r="C5436">
        <v>4</v>
      </c>
      <c r="D5436" t="s">
        <v>1447</v>
      </c>
      <c r="E5436" t="s">
        <v>1915</v>
      </c>
      <c r="F5436" t="s">
        <v>1806</v>
      </c>
      <c r="I5436" t="str">
        <f>IF(ISBLANK('Q 5'!F1392),"",IF('Q 5'!F1392="&lt;please select&gt;","",'Q 5'!F1392))</f>
        <v>7782.4992</v>
      </c>
    </row>
    <row r="5437" spans="1:9" x14ac:dyDescent="0.3">
      <c r="A5437" t="s">
        <v>1910</v>
      </c>
      <c r="B5437" t="s">
        <v>1912</v>
      </c>
      <c r="C5437">
        <v>5</v>
      </c>
      <c r="D5437" t="s">
        <v>1447</v>
      </c>
      <c r="E5437" t="s">
        <v>1915</v>
      </c>
      <c r="F5437" t="s">
        <v>1806</v>
      </c>
      <c r="I5437" t="str">
        <f>IF(ISBLANK('Q 5'!F1393),"",IF('Q 5'!F1393="&lt;please select&gt;","",'Q 5'!F1393))</f>
        <v>153343.514571313</v>
      </c>
    </row>
    <row r="5438" spans="1:9" x14ac:dyDescent="0.3">
      <c r="A5438" t="s">
        <v>1910</v>
      </c>
      <c r="B5438" t="s">
        <v>1912</v>
      </c>
      <c r="C5438">
        <v>6</v>
      </c>
      <c r="D5438" t="s">
        <v>1447</v>
      </c>
      <c r="E5438" t="s">
        <v>1915</v>
      </c>
      <c r="F5438" t="s">
        <v>1806</v>
      </c>
      <c r="I5438" t="str">
        <f>IF(ISBLANK('Q 5'!F1394),"",IF('Q 5'!F1394="&lt;please select&gt;","",'Q 5'!F1394))</f>
        <v>75203.686836743</v>
      </c>
    </row>
    <row r="5439" spans="1:9" x14ac:dyDescent="0.3">
      <c r="A5439" t="s">
        <v>1910</v>
      </c>
      <c r="B5439" t="s">
        <v>1912</v>
      </c>
      <c r="C5439">
        <v>7</v>
      </c>
      <c r="D5439" t="s">
        <v>1447</v>
      </c>
      <c r="E5439" t="s">
        <v>1915</v>
      </c>
      <c r="F5439" t="s">
        <v>1806</v>
      </c>
      <c r="I5439" t="str">
        <f>IF(ISBLANK('Q 5'!F1395),"",IF('Q 5'!F1395="&lt;please select&gt;","",'Q 5'!F1395))</f>
        <v>372772.536864</v>
      </c>
    </row>
    <row r="5440" spans="1:9" x14ac:dyDescent="0.3">
      <c r="A5440" t="s">
        <v>1910</v>
      </c>
      <c r="B5440" t="s">
        <v>1912</v>
      </c>
      <c r="C5440">
        <v>8</v>
      </c>
      <c r="D5440" t="s">
        <v>1447</v>
      </c>
      <c r="E5440" t="s">
        <v>1915</v>
      </c>
      <c r="F5440" t="s">
        <v>1806</v>
      </c>
      <c r="I5440" t="str">
        <f>IF(ISBLANK('Q 5'!F1396),"",IF('Q 5'!F1396="&lt;please select&gt;","",'Q 5'!F1396))</f>
        <v>22865.51748</v>
      </c>
    </row>
    <row r="5441" spans="1:9" x14ac:dyDescent="0.3">
      <c r="A5441" t="s">
        <v>1910</v>
      </c>
      <c r="B5441" t="s">
        <v>1912</v>
      </c>
      <c r="C5441">
        <v>9</v>
      </c>
      <c r="D5441" t="s">
        <v>1447</v>
      </c>
      <c r="E5441" t="s">
        <v>1915</v>
      </c>
      <c r="F5441" t="s">
        <v>1806</v>
      </c>
      <c r="I5441" t="str">
        <f>IF(ISBLANK('Q 5'!F1397),"",IF('Q 5'!F1397="&lt;please select&gt;","",'Q 5'!F1397))</f>
        <v>15676.14183408</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0</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298832.3</v>
      </c>
    </row>
    <row r="5534" spans="1:9" x14ac:dyDescent="0.3">
      <c r="A5534" t="s">
        <v>1910</v>
      </c>
      <c r="B5534" t="s">
        <v>1912</v>
      </c>
      <c r="C5534">
        <v>2</v>
      </c>
      <c r="D5534" t="s">
        <v>1447</v>
      </c>
      <c r="E5534" t="s">
        <v>1917</v>
      </c>
      <c r="F5534" t="s">
        <v>1806</v>
      </c>
      <c r="I5534" t="str">
        <f>IF(ISBLANK('Q 5'!H1390),"",IF('Q 5'!H1390="&lt;please select&gt;","",'Q 5'!H1390))</f>
        <v>381155.7</v>
      </c>
    </row>
    <row r="5535" spans="1:9" x14ac:dyDescent="0.3">
      <c r="A5535" t="s">
        <v>1910</v>
      </c>
      <c r="B5535" t="s">
        <v>1912</v>
      </c>
      <c r="C5535">
        <v>3</v>
      </c>
      <c r="D5535" t="s">
        <v>1447</v>
      </c>
      <c r="E5535" t="s">
        <v>1917</v>
      </c>
      <c r="F5535" t="s">
        <v>1806</v>
      </c>
      <c r="I5535" t="str">
        <f>IF(ISBLANK('Q 5'!H1391),"",IF('Q 5'!H1391="&lt;please select&gt;","",'Q 5'!H1391))</f>
        <v>197738.9</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5809.719260432</v>
      </c>
    </row>
    <row r="5584" spans="1:9" x14ac:dyDescent="0.3">
      <c r="A5584" t="s">
        <v>1910</v>
      </c>
      <c r="B5584" t="s">
        <v>1912</v>
      </c>
      <c r="C5584">
        <v>2</v>
      </c>
      <c r="D5584" t="s">
        <v>1447</v>
      </c>
      <c r="E5584" t="s">
        <v>1918</v>
      </c>
      <c r="F5584" t="s">
        <v>1806</v>
      </c>
      <c r="I5584" t="str">
        <f>IF(ISBLANK('Q 5'!I1390),"",IF('Q 5'!I1390="&lt;please select&gt;","",'Q 5'!I1390))</f>
        <v>6441.604748472</v>
      </c>
    </row>
    <row r="5585" spans="1:9" x14ac:dyDescent="0.3">
      <c r="A5585" t="s">
        <v>1910</v>
      </c>
      <c r="B5585" t="s">
        <v>1912</v>
      </c>
      <c r="C5585">
        <v>3</v>
      </c>
      <c r="D5585" t="s">
        <v>1447</v>
      </c>
      <c r="E5585" t="s">
        <v>1918</v>
      </c>
      <c r="F5585" t="s">
        <v>1806</v>
      </c>
      <c r="I5585" t="str">
        <f>IF(ISBLANK('Q 5'!I1391),"",IF('Q 5'!I1391="&lt;please select&gt;","",'Q 5'!I1391))</f>
        <v>24900.6737541</v>
      </c>
    </row>
    <row r="5586" spans="1:9" x14ac:dyDescent="0.3">
      <c r="A5586" t="s">
        <v>1910</v>
      </c>
      <c r="B5586" t="s">
        <v>1912</v>
      </c>
      <c r="C5586">
        <v>4</v>
      </c>
      <c r="D5586" t="s">
        <v>1447</v>
      </c>
      <c r="E5586" t="s">
        <v>1918</v>
      </c>
      <c r="F5586" t="s">
        <v>1806</v>
      </c>
      <c r="I5586" t="str">
        <f>IF(ISBLANK('Q 5'!I1392),"",IF('Q 5'!I1392="&lt;please select&gt;","",'Q 5'!I1392))</f>
        <v>77.824992</v>
      </c>
    </row>
    <row r="5587" spans="1:9" x14ac:dyDescent="0.3">
      <c r="A5587" t="s">
        <v>1910</v>
      </c>
      <c r="B5587" t="s">
        <v>1912</v>
      </c>
      <c r="C5587">
        <v>5</v>
      </c>
      <c r="D5587" t="s">
        <v>1447</v>
      </c>
      <c r="E5587" t="s">
        <v>1918</v>
      </c>
      <c r="F5587" t="s">
        <v>1806</v>
      </c>
      <c r="I5587" t="str">
        <f>IF(ISBLANK('Q 5'!I1393),"",IF('Q 5'!I1393="&lt;please select&gt;","",'Q 5'!I1393))</f>
        <v>3881.85497102784</v>
      </c>
    </row>
    <row r="5588" spans="1:9" x14ac:dyDescent="0.3">
      <c r="A5588" t="s">
        <v>1910</v>
      </c>
      <c r="B5588" t="s">
        <v>1912</v>
      </c>
      <c r="C5588">
        <v>6</v>
      </c>
      <c r="D5588" t="s">
        <v>1447</v>
      </c>
      <c r="E5588" t="s">
        <v>1918</v>
      </c>
      <c r="F5588" t="s">
        <v>1806</v>
      </c>
      <c r="I5588" t="str">
        <f>IF(ISBLANK('Q 5'!I1394),"",IF('Q 5'!I1394="&lt;please select&gt;","",'Q 5'!I1394))</f>
        <v>1906.01902580584</v>
      </c>
    </row>
    <row r="5589" spans="1:9" x14ac:dyDescent="0.3">
      <c r="A5589" t="s">
        <v>1910</v>
      </c>
      <c r="B5589" t="s">
        <v>1912</v>
      </c>
      <c r="C5589">
        <v>7</v>
      </c>
      <c r="D5589" t="s">
        <v>1447</v>
      </c>
      <c r="E5589" t="s">
        <v>1918</v>
      </c>
      <c r="F5589" t="s">
        <v>1806</v>
      </c>
      <c r="I5589" t="str">
        <f>IF(ISBLANK('Q 5'!I1395),"",IF('Q 5'!I1395="&lt;please select&gt;","",'Q 5'!I1395))</f>
        <v>3328.326222</v>
      </c>
    </row>
    <row r="5590" spans="1:9" x14ac:dyDescent="0.3">
      <c r="A5590" t="s">
        <v>1910</v>
      </c>
      <c r="B5590" t="s">
        <v>1912</v>
      </c>
      <c r="C5590">
        <v>8</v>
      </c>
      <c r="D5590" t="s">
        <v>1447</v>
      </c>
      <c r="E5590" t="s">
        <v>1918</v>
      </c>
      <c r="F5590" t="s">
        <v>1806</v>
      </c>
      <c r="I5590" t="str">
        <f>IF(ISBLANK('Q 5'!I1396),"",IF('Q 5'!I1396="&lt;please select&gt;","",'Q 5'!I1396))</f>
        <v>228.6551748</v>
      </c>
    </row>
    <row r="5591" spans="1:9" x14ac:dyDescent="0.3">
      <c r="A5591" t="s">
        <v>1910</v>
      </c>
      <c r="B5591" t="s">
        <v>1912</v>
      </c>
      <c r="C5591">
        <v>9</v>
      </c>
      <c r="D5591" t="s">
        <v>1447</v>
      </c>
      <c r="E5591" t="s">
        <v>1918</v>
      </c>
      <c r="F5591" t="s">
        <v>1806</v>
      </c>
      <c r="I5591" t="str">
        <f>IF(ISBLANK('Q 5'!I1397),"",IF('Q 5'!I1397="&lt;please select&gt;","",'Q 5'!I1397))</f>
        <v>157.359384</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0</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3988.9630043398</v>
      </c>
    </row>
    <row r="5684" spans="1:9" x14ac:dyDescent="0.3">
      <c r="A5684" t="s">
        <v>1910</v>
      </c>
      <c r="B5684" t="s">
        <v>1912</v>
      </c>
      <c r="C5684">
        <v>2</v>
      </c>
      <c r="D5684" t="s">
        <v>1447</v>
      </c>
      <c r="E5684" t="s">
        <v>1920</v>
      </c>
      <c r="F5684" t="s">
        <v>1806</v>
      </c>
      <c r="I5684" t="str">
        <f>IF(ISBLANK('Q 5'!K1390),"",IF('Q 5'!K1390="&lt;please select&gt;","",'Q 5'!K1390))</f>
        <v>5900.43759386</v>
      </c>
    </row>
    <row r="5685" spans="1:9" x14ac:dyDescent="0.3">
      <c r="A5685" t="s">
        <v>1910</v>
      </c>
      <c r="B5685" t="s">
        <v>1912</v>
      </c>
      <c r="C5685">
        <v>3</v>
      </c>
      <c r="D5685" t="s">
        <v>1447</v>
      </c>
      <c r="E5685" t="s">
        <v>1920</v>
      </c>
      <c r="F5685" t="s">
        <v>1806</v>
      </c>
      <c r="I5685" t="str">
        <f>IF(ISBLANK('Q 5'!K1391),"",IF('Q 5'!K1391="&lt;please select&gt;","",'Q 5'!K1391))</f>
        <v>2707.942490092</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139853.7</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4</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0.25</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120858</v>
      </c>
    </row>
    <row r="5752" spans="1:9" x14ac:dyDescent="0.3">
      <c r="A5752" t="s">
        <v>1932</v>
      </c>
      <c r="B5752" t="s">
        <v>1933</v>
      </c>
      <c r="C5752">
        <v>2</v>
      </c>
      <c r="D5752" t="s">
        <v>1447</v>
      </c>
      <c r="E5752" t="s">
        <v>1934</v>
      </c>
      <c r="F5752" t="s">
        <v>1806</v>
      </c>
      <c r="I5752" t="str">
        <f>IF(ISBLANK('Q 5'!G1473),"",IF('Q 5'!G1473="&lt;please select&gt;","",'Q 5'!G1473))</f>
        <v>18832</v>
      </c>
    </row>
    <row r="5753" spans="1:9" x14ac:dyDescent="0.3">
      <c r="A5753" t="s">
        <v>1932</v>
      </c>
      <c r="B5753" t="s">
        <v>1933</v>
      </c>
      <c r="C5753">
        <v>3</v>
      </c>
      <c r="D5753" t="s">
        <v>1447</v>
      </c>
      <c r="E5753" t="s">
        <v>1934</v>
      </c>
      <c r="F5753" t="s">
        <v>1806</v>
      </c>
      <c r="I5753" t="str">
        <f>IF(ISBLANK('Q 5'!G1474),"",IF('Q 5'!G1474="&lt;please select&gt;","",'Q 5'!G1474))</f>
        <v>138218</v>
      </c>
    </row>
    <row r="5754" spans="1:9" x14ac:dyDescent="0.3">
      <c r="A5754" t="s">
        <v>1932</v>
      </c>
      <c r="B5754" t="s">
        <v>1933</v>
      </c>
      <c r="C5754">
        <v>4</v>
      </c>
      <c r="D5754" t="s">
        <v>1447</v>
      </c>
      <c r="E5754" t="s">
        <v>1934</v>
      </c>
      <c r="F5754" t="s">
        <v>1806</v>
      </c>
      <c r="I5754" t="str">
        <f>IF(ISBLANK('Q 5'!G1475),"",IF('Q 5'!G1475="&lt;please select&gt;","",'Q 5'!G1475))</f>
        <v/>
      </c>
    </row>
    <row r="5755" spans="1:9" x14ac:dyDescent="0.3">
      <c r="A5755" t="s">
        <v>1932</v>
      </c>
      <c r="B5755" t="s">
        <v>1933</v>
      </c>
      <c r="C5755">
        <v>5</v>
      </c>
      <c r="D5755" t="s">
        <v>1447</v>
      </c>
      <c r="E5755" t="s">
        <v>1934</v>
      </c>
      <c r="F5755" t="s">
        <v>1806</v>
      </c>
      <c r="I5755" t="str">
        <f>IF(ISBLANK('Q 5'!G1476),"",IF('Q 5'!G1476="&lt;please select&gt;","",'Q 5'!G1476))</f>
        <v>1474</v>
      </c>
    </row>
    <row r="5756" spans="1:9" x14ac:dyDescent="0.3">
      <c r="A5756" t="s">
        <v>1932</v>
      </c>
      <c r="B5756" t="s">
        <v>1935</v>
      </c>
      <c r="C5756">
        <v>0</v>
      </c>
      <c r="D5756" t="s">
        <v>1447</v>
      </c>
      <c r="E5756" t="s">
        <v>1935</v>
      </c>
      <c r="F5756" t="s">
        <v>1748</v>
      </c>
      <c r="H5756" s="167" t="str">
        <f>IF(ISBLANK('Q 5'!$G$1479),"",IF('Q 5'!$G$1479="&lt;please select&gt;","",'Q 5'!$G$1479))</f>
        <v>2</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
      </c>
    </row>
    <row r="5759" spans="1:9" x14ac:dyDescent="0.3">
      <c r="A5759" t="s">
        <v>1936</v>
      </c>
      <c r="B5759" t="s">
        <v>1939</v>
      </c>
      <c r="C5759">
        <v>0</v>
      </c>
      <c r="D5759" t="s">
        <v>1447</v>
      </c>
      <c r="E5759" t="s">
        <v>1939</v>
      </c>
      <c r="F5759" t="s">
        <v>1806</v>
      </c>
      <c r="I5759" s="165" t="str">
        <f>IF(ISBLANK('Q 5'!$G$1486),"",IF('Q 5'!$G$1486="&lt;please select&gt;","",'Q 5'!$G$1486))</f>
        <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3</v>
      </c>
    </row>
    <row r="5778" spans="1:11" x14ac:dyDescent="0.3">
      <c r="A5778" t="s">
        <v>1951</v>
      </c>
      <c r="B5778" t="s">
        <v>1952</v>
      </c>
      <c r="C5778">
        <v>2</v>
      </c>
      <c r="D5778" t="s">
        <v>1447</v>
      </c>
      <c r="E5778" t="s">
        <v>1953</v>
      </c>
      <c r="F5778" t="s">
        <v>1748</v>
      </c>
      <c r="H5778" s="165" t="str">
        <f>IF(ISBLANK('Q 6'!F9),"",IF('Q 6'!F9="&lt;please select&gt;","",'Q 6'!F9))</f>
        <v>3</v>
      </c>
    </row>
    <row r="5779" spans="1:11" x14ac:dyDescent="0.3">
      <c r="A5779" t="s">
        <v>1951</v>
      </c>
      <c r="B5779" t="s">
        <v>1952</v>
      </c>
      <c r="C5779">
        <v>3</v>
      </c>
      <c r="D5779" t="s">
        <v>1447</v>
      </c>
      <c r="E5779" t="s">
        <v>1953</v>
      </c>
      <c r="F5779" t="s">
        <v>1748</v>
      </c>
      <c r="H5779" s="165" t="str">
        <f>IF(ISBLANK('Q 6'!F10),"",IF('Q 6'!F10="&lt;please select&gt;","",'Q 6'!F10))</f>
        <v>4</v>
      </c>
    </row>
    <row r="5780" spans="1:11" x14ac:dyDescent="0.3">
      <c r="A5780" t="s">
        <v>1951</v>
      </c>
      <c r="B5780" t="s">
        <v>1952</v>
      </c>
      <c r="C5780">
        <v>4</v>
      </c>
      <c r="D5780" t="s">
        <v>1447</v>
      </c>
      <c r="E5780" t="s">
        <v>1953</v>
      </c>
      <c r="F5780" t="s">
        <v>1748</v>
      </c>
      <c r="H5780" s="165" t="str">
        <f>IF(ISBLANK('Q 6'!F11),"",IF('Q 6'!F11="&lt;please select&gt;","",'Q 6'!F11))</f>
        <v>4</v>
      </c>
    </row>
    <row r="5781" spans="1:11" x14ac:dyDescent="0.3">
      <c r="A5781" t="s">
        <v>1951</v>
      </c>
      <c r="B5781" t="s">
        <v>1952</v>
      </c>
      <c r="C5781">
        <v>3</v>
      </c>
      <c r="D5781" t="s">
        <v>1447</v>
      </c>
      <c r="E5781" t="s">
        <v>1954</v>
      </c>
      <c r="F5781" t="s">
        <v>1741</v>
      </c>
      <c r="G5781" t="str">
        <f>IF(ISBLANK('Q 6'!G10),"",IF('Q 6'!G10="&lt;please select&gt;","",'Q 6'!G10))</f>
        <v>GR, CZ</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
      </c>
    </row>
    <row r="5784" spans="1:11" x14ac:dyDescent="0.3">
      <c r="A5784" t="s">
        <v>1951</v>
      </c>
      <c r="B5784" t="s">
        <v>1952</v>
      </c>
      <c r="C5784">
        <v>2</v>
      </c>
      <c r="D5784" t="s">
        <v>1447</v>
      </c>
      <c r="E5784" t="s">
        <v>1955</v>
      </c>
      <c r="F5784" t="s">
        <v>1748</v>
      </c>
      <c r="H5784" s="165" t="str">
        <f>IF(ISBLANK('Q 6'!H9),"",IF('Q 6'!H9="&lt;please select&gt;","",'Q 6'!H9))</f>
        <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1</v>
      </c>
    </row>
    <row r="5787" spans="1:11" x14ac:dyDescent="0.3">
      <c r="A5787" t="s">
        <v>1951</v>
      </c>
      <c r="B5787" t="s">
        <v>1952</v>
      </c>
      <c r="C5787">
        <v>3</v>
      </c>
      <c r="D5787" t="s">
        <v>1447</v>
      </c>
      <c r="E5787" t="s">
        <v>1956</v>
      </c>
      <c r="F5787" t="s">
        <v>1741</v>
      </c>
      <c r="G5787" t="str">
        <f>IF(ISBLANK('Q 6'!I10),"",IF('Q 6'!I10="&lt;please select&gt;","",'Q 6'!I10))</f>
        <v>CZ</v>
      </c>
    </row>
    <row r="5788" spans="1:11" x14ac:dyDescent="0.3">
      <c r="A5788" t="s">
        <v>1951</v>
      </c>
      <c r="B5788" t="s">
        <v>1952</v>
      </c>
      <c r="C5788">
        <v>4</v>
      </c>
      <c r="D5788" t="s">
        <v>1447</v>
      </c>
      <c r="E5788" t="s">
        <v>1956</v>
      </c>
      <c r="F5788" t="s">
        <v>1741</v>
      </c>
      <c r="G5788" t="str">
        <f>IF(ISBLANK('Q 6'!I11),"",IF('Q 6'!I11="&lt;please select&gt;","",'Q 6'!I11))</f>
        <v>CZ</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of secondary aluminium </v>
      </c>
    </row>
    <row r="5797" spans="1:11" x14ac:dyDescent="0.3">
      <c r="A5797" t="s">
        <v>1951</v>
      </c>
      <c r="B5797" t="s">
        <v>1957</v>
      </c>
      <c r="C5797">
        <v>9</v>
      </c>
      <c r="D5797" t="s">
        <v>1447</v>
      </c>
      <c r="E5797" t="s">
        <v>1958</v>
      </c>
      <c r="F5797" t="s">
        <v>1737</v>
      </c>
      <c r="K5797" t="str">
        <f>IF(ISBLANK('Q 6'!C25),"",IF('Q 6'!C25="&lt;please select&gt;","",'Q 6'!C25))</f>
        <v xml:space="preserve">4 - Production or processing of non-ferrous metals, including production of alloys </v>
      </c>
    </row>
    <row r="5798" spans="1:11" x14ac:dyDescent="0.3">
      <c r="A5798" t="s">
        <v>1951</v>
      </c>
      <c r="B5798" t="s">
        <v>1957</v>
      </c>
      <c r="C5798">
        <v>10</v>
      </c>
      <c r="D5798" t="s">
        <v>1447</v>
      </c>
      <c r="E5798" t="s">
        <v>1958</v>
      </c>
      <c r="F5798" t="s">
        <v>1737</v>
      </c>
      <c r="K5798" t="str">
        <f>IF(ISBLANK('Q 6'!C26),"",IF('Q 6'!C26="&lt;please select&gt;","",'Q 6'!C26))</f>
        <v xml:space="preserve">6 - Production of cement clinker </v>
      </c>
    </row>
    <row r="5799" spans="1:11" x14ac:dyDescent="0.3">
      <c r="A5799" t="s">
        <v>1951</v>
      </c>
      <c r="B5799" t="s">
        <v>1957</v>
      </c>
      <c r="C5799">
        <v>11</v>
      </c>
      <c r="D5799" t="s">
        <v>1447</v>
      </c>
      <c r="E5799" t="s">
        <v>1958</v>
      </c>
      <c r="F5799" t="s">
        <v>1737</v>
      </c>
      <c r="K5799" t="str">
        <f>IF(ISBLANK('Q 6'!C27),"",IF('Q 6'!C27="&lt;please select&gt;","",'Q 6'!C27))</f>
        <v xml:space="preserve">6 - Production of lime or calcination of dolomite or magnesite </v>
      </c>
    </row>
    <row r="5800" spans="1:11" x14ac:dyDescent="0.3">
      <c r="A5800" t="s">
        <v>1951</v>
      </c>
      <c r="B5800" t="s">
        <v>1957</v>
      </c>
      <c r="C5800">
        <v>12</v>
      </c>
      <c r="D5800" t="s">
        <v>1447</v>
      </c>
      <c r="E5800" t="s">
        <v>1958</v>
      </c>
      <c r="F5800" t="s">
        <v>1737</v>
      </c>
      <c r="K5800" t="str">
        <f>IF(ISBLANK('Q 6'!C28),"",IF('Q 6'!C28="&lt;please select&gt;","",'Q 6'!C28))</f>
        <v xml:space="preserve">6 - Manufacture of glass including glass fibre </v>
      </c>
    </row>
    <row r="5801" spans="1:11" x14ac:dyDescent="0.3">
      <c r="A5801" t="s">
        <v>1951</v>
      </c>
      <c r="B5801" t="s">
        <v>1957</v>
      </c>
      <c r="C5801">
        <v>13</v>
      </c>
      <c r="D5801" t="s">
        <v>1447</v>
      </c>
      <c r="E5801" t="s">
        <v>1958</v>
      </c>
      <c r="F5801" t="s">
        <v>1737</v>
      </c>
      <c r="K5801" t="str">
        <f>IF(ISBLANK('Q 6'!C29),"",IF('Q 6'!C29="&lt;please select&gt;","",'Q 6'!C29))</f>
        <v xml:space="preserve">6 - Manufacture of ceramic products by firing </v>
      </c>
    </row>
    <row r="5802" spans="1:11" x14ac:dyDescent="0.3">
      <c r="A5802" t="s">
        <v>1951</v>
      </c>
      <c r="B5802" t="s">
        <v>1957</v>
      </c>
      <c r="C5802">
        <v>14</v>
      </c>
      <c r="D5802" t="s">
        <v>1447</v>
      </c>
      <c r="E5802" t="s">
        <v>1958</v>
      </c>
      <c r="F5802" t="s">
        <v>1737</v>
      </c>
      <c r="K5802" t="str">
        <f>IF(ISBLANK('Q 6'!C30),"",IF('Q 6'!C30="&lt;please select&gt;","",'Q 6'!C30))</f>
        <v xml:space="preserve">6 - Manufacture of mineral wool insulation material </v>
      </c>
    </row>
    <row r="5803" spans="1:11" x14ac:dyDescent="0.3">
      <c r="A5803" t="s">
        <v>1951</v>
      </c>
      <c r="B5803" t="s">
        <v>1957</v>
      </c>
      <c r="C5803">
        <v>15</v>
      </c>
      <c r="D5803" t="s">
        <v>1447</v>
      </c>
      <c r="E5803" t="s">
        <v>1958</v>
      </c>
      <c r="F5803" t="s">
        <v>1737</v>
      </c>
      <c r="K5803" t="str">
        <f>IF(ISBLANK('Q 6'!C31),"",IF('Q 6'!C31="&lt;please select&gt;","",'Q 6'!C31))</f>
        <v>6 - Drying or calcination of gypsum or production of plaster boards and other gypsum products</v>
      </c>
    </row>
    <row r="5804" spans="1:11" x14ac:dyDescent="0.3">
      <c r="A5804" t="s">
        <v>1951</v>
      </c>
      <c r="B5804" t="s">
        <v>1957</v>
      </c>
      <c r="C5804">
        <v>16</v>
      </c>
      <c r="D5804" t="s">
        <v>1447</v>
      </c>
      <c r="E5804" t="s">
        <v>1958</v>
      </c>
      <c r="F5804" t="s">
        <v>1737</v>
      </c>
      <c r="K5804" t="str">
        <f>IF(ISBLANK('Q 6'!C32),"",IF('Q 6'!C32="&lt;please select&gt;","",'Q 6'!C32))</f>
        <v xml:space="preserve">7 - Production of pulp from timber or other fibrous materials </v>
      </c>
    </row>
    <row r="5805" spans="1:11" x14ac:dyDescent="0.3">
      <c r="A5805" t="s">
        <v>1951</v>
      </c>
      <c r="B5805" t="s">
        <v>1957</v>
      </c>
      <c r="C5805">
        <v>17</v>
      </c>
      <c r="D5805" t="s">
        <v>1447</v>
      </c>
      <c r="E5805" t="s">
        <v>1958</v>
      </c>
      <c r="F5805" t="s">
        <v>1737</v>
      </c>
      <c r="K5805" t="str">
        <f>IF(ISBLANK('Q 6'!C33),"",IF('Q 6'!C33="&lt;please select&gt;","",'Q 6'!C33))</f>
        <v>7 - Production of paper or cardboard</v>
      </c>
    </row>
    <row r="5806" spans="1:11" x14ac:dyDescent="0.3">
      <c r="A5806" t="s">
        <v>1951</v>
      </c>
      <c r="B5806" t="s">
        <v>1957</v>
      </c>
      <c r="C5806">
        <v>18</v>
      </c>
      <c r="D5806" t="s">
        <v>1447</v>
      </c>
      <c r="E5806" t="s">
        <v>1958</v>
      </c>
      <c r="F5806" t="s">
        <v>1737</v>
      </c>
      <c r="K5806" t="str">
        <f>IF(ISBLANK('Q 6'!C34),"",IF('Q 6'!C34="&lt;please select&gt;","",'Q 6'!C34))</f>
        <v xml:space="preserve">8 - Production of carbon black </v>
      </c>
    </row>
    <row r="5807" spans="1:11" x14ac:dyDescent="0.3">
      <c r="A5807" t="s">
        <v>1951</v>
      </c>
      <c r="B5807" t="s">
        <v>1957</v>
      </c>
      <c r="C5807">
        <v>19</v>
      </c>
      <c r="D5807" t="s">
        <v>1447</v>
      </c>
      <c r="E5807" t="s">
        <v>1958</v>
      </c>
      <c r="F5807" t="s">
        <v>1737</v>
      </c>
      <c r="K5807" t="str">
        <f>IF(ISBLANK('Q 6'!C35),"",IF('Q 6'!C35="&lt;please select&gt;","",'Q 6'!C35))</f>
        <v xml:space="preserve">8 - Production of ammonia </v>
      </c>
    </row>
    <row r="5808" spans="1:11" x14ac:dyDescent="0.3">
      <c r="A5808" t="s">
        <v>1951</v>
      </c>
      <c r="B5808" t="s">
        <v>1957</v>
      </c>
      <c r="C5808">
        <v>20</v>
      </c>
      <c r="D5808" t="s">
        <v>1447</v>
      </c>
      <c r="E5808" t="s">
        <v>1958</v>
      </c>
      <c r="F5808" t="s">
        <v>1737</v>
      </c>
      <c r="K5808" t="str">
        <f>IF(ISBLANK('Q 6'!C36),"",IF('Q 6'!C36="&lt;please select&gt;","",'Q 6'!C36))</f>
        <v xml:space="preserve">8 - Production of bulk organic chemicals by cracking, reforming, partial or full oxidation or by similar processes </v>
      </c>
    </row>
    <row r="5809" spans="1:11" x14ac:dyDescent="0.3">
      <c r="A5809" t="s">
        <v>1951</v>
      </c>
      <c r="B5809" t="s">
        <v>1957</v>
      </c>
      <c r="C5809">
        <v>21</v>
      </c>
      <c r="D5809" t="s">
        <v>1447</v>
      </c>
      <c r="E5809" t="s">
        <v>1958</v>
      </c>
      <c r="F5809" t="s">
        <v>1737</v>
      </c>
      <c r="K5809" t="str">
        <f>IF(ISBLANK('Q 6'!C37),"",IF('Q 6'!C37="&lt;please select&gt;","",'Q 6'!C37))</f>
        <v xml:space="preserve">8 - Production of hydrogen (H2) and synthesis gas by reforming or partial oxidation </v>
      </c>
    </row>
    <row r="5810" spans="1:11" x14ac:dyDescent="0.3">
      <c r="A5810" t="s">
        <v>1951</v>
      </c>
      <c r="B5810" t="s">
        <v>1957</v>
      </c>
      <c r="C5810">
        <v>22</v>
      </c>
      <c r="D5810" t="s">
        <v>1447</v>
      </c>
      <c r="E5810" t="s">
        <v>1958</v>
      </c>
      <c r="F5810" t="s">
        <v>1737</v>
      </c>
      <c r="K5810" t="str">
        <f>IF(ISBLANK('Q 6'!C38),"",IF('Q 6'!C38="&lt;please select&gt;","",'Q 6'!C38))</f>
        <v>8 - Production of soda ash (Na2CO3) and sodium bicarbonate (NaHCO3)</v>
      </c>
    </row>
    <row r="5811" spans="1:11" x14ac:dyDescent="0.3">
      <c r="A5811" t="s">
        <v>1951</v>
      </c>
      <c r="B5811" t="s">
        <v>1957</v>
      </c>
      <c r="C5811">
        <v>23</v>
      </c>
      <c r="D5811" t="s">
        <v>1447</v>
      </c>
      <c r="E5811" t="s">
        <v>1958</v>
      </c>
      <c r="F5811" t="s">
        <v>1737</v>
      </c>
      <c r="K5811" t="str">
        <f>IF(ISBLANK('Q 6'!C39),"",IF('Q 6'!C39="&lt;please select&gt;","",'Q 6'!C39))</f>
        <v xml:space="preserve">9 - Production of nitric acid (CO2 and N2O emissions) </v>
      </c>
    </row>
    <row r="5812" spans="1:11" x14ac:dyDescent="0.3">
      <c r="A5812" t="s">
        <v>1951</v>
      </c>
      <c r="B5812" t="s">
        <v>1957</v>
      </c>
      <c r="C5812">
        <v>24</v>
      </c>
      <c r="D5812" t="s">
        <v>1447</v>
      </c>
      <c r="E5812" t="s">
        <v>1958</v>
      </c>
      <c r="F5812" t="s">
        <v>1737</v>
      </c>
      <c r="K5812" t="str">
        <f>IF(ISBLANK('Q 6'!C40),"",IF('Q 6'!C40="&lt;please select&gt;","",'Q 6'!C40))</f>
        <v>98 - Other activities pursuant to Article 10a of Directive 2003/87/EC</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3</v>
      </c>
    </row>
    <row r="5824" spans="1:11" x14ac:dyDescent="0.3">
      <c r="A5824" t="s">
        <v>1951</v>
      </c>
      <c r="B5824" t="s">
        <v>1957</v>
      </c>
      <c r="C5824">
        <v>2</v>
      </c>
      <c r="D5824" t="s">
        <v>1447</v>
      </c>
      <c r="E5824" t="s">
        <v>1959</v>
      </c>
      <c r="F5824" t="s">
        <v>1748</v>
      </c>
      <c r="H5824" s="165" t="str">
        <f>IF(ISBLANK('Q 6'!H18),"",IF('Q 6'!H18="&lt;please select&gt;","",'Q 6'!H18))</f>
        <v>3</v>
      </c>
    </row>
    <row r="5825" spans="1:8" x14ac:dyDescent="0.3">
      <c r="A5825" t="s">
        <v>1951</v>
      </c>
      <c r="B5825" t="s">
        <v>1957</v>
      </c>
      <c r="C5825">
        <v>3</v>
      </c>
      <c r="D5825" t="s">
        <v>1447</v>
      </c>
      <c r="E5825" t="s">
        <v>1959</v>
      </c>
      <c r="F5825" t="s">
        <v>1748</v>
      </c>
      <c r="H5825" s="165" t="str">
        <f>IF(ISBLANK('Q 6'!H19),"",IF('Q 6'!H19="&lt;please select&gt;","",'Q 6'!H19))</f>
        <v>3</v>
      </c>
    </row>
    <row r="5826" spans="1:8" x14ac:dyDescent="0.3">
      <c r="A5826" t="s">
        <v>1951</v>
      </c>
      <c r="B5826" t="s">
        <v>1957</v>
      </c>
      <c r="C5826">
        <v>4</v>
      </c>
      <c r="D5826" t="s">
        <v>1447</v>
      </c>
      <c r="E5826" t="s">
        <v>1959</v>
      </c>
      <c r="F5826" t="s">
        <v>1748</v>
      </c>
      <c r="H5826" s="165" t="str">
        <f>IF(ISBLANK('Q 6'!H20),"",IF('Q 6'!H20="&lt;please select&gt;","",'Q 6'!H20))</f>
        <v>3</v>
      </c>
    </row>
    <row r="5827" spans="1:8" x14ac:dyDescent="0.3">
      <c r="A5827" t="s">
        <v>1951</v>
      </c>
      <c r="B5827" t="s">
        <v>1957</v>
      </c>
      <c r="C5827">
        <v>5</v>
      </c>
      <c r="D5827" t="s">
        <v>1447</v>
      </c>
      <c r="E5827" t="s">
        <v>1959</v>
      </c>
      <c r="F5827" t="s">
        <v>1748</v>
      </c>
      <c r="H5827" s="165" t="str">
        <f>IF(ISBLANK('Q 6'!H21),"",IF('Q 6'!H21="&lt;please select&gt;","",'Q 6'!H21))</f>
        <v>3</v>
      </c>
    </row>
    <row r="5828" spans="1:8" x14ac:dyDescent="0.3">
      <c r="A5828" t="s">
        <v>1951</v>
      </c>
      <c r="B5828" t="s">
        <v>1957</v>
      </c>
      <c r="C5828">
        <v>6</v>
      </c>
      <c r="D5828" t="s">
        <v>1447</v>
      </c>
      <c r="E5828" t="s">
        <v>1959</v>
      </c>
      <c r="F5828" t="s">
        <v>1748</v>
      </c>
      <c r="H5828" s="165" t="str">
        <f>IF(ISBLANK('Q 6'!H22),"",IF('Q 6'!H22="&lt;please select&gt;","",'Q 6'!H22))</f>
        <v>3</v>
      </c>
    </row>
    <row r="5829" spans="1:8" x14ac:dyDescent="0.3">
      <c r="A5829" t="s">
        <v>1951</v>
      </c>
      <c r="B5829" t="s">
        <v>1957</v>
      </c>
      <c r="C5829">
        <v>7</v>
      </c>
      <c r="D5829" t="s">
        <v>1447</v>
      </c>
      <c r="E5829" t="s">
        <v>1959</v>
      </c>
      <c r="F5829" t="s">
        <v>1748</v>
      </c>
      <c r="H5829" s="165" t="str">
        <f>IF(ISBLANK('Q 6'!H23),"",IF('Q 6'!H23="&lt;please select&gt;","",'Q 6'!H23))</f>
        <v>2</v>
      </c>
    </row>
    <row r="5830" spans="1:8" x14ac:dyDescent="0.3">
      <c r="A5830" t="s">
        <v>1951</v>
      </c>
      <c r="B5830" t="s">
        <v>1957</v>
      </c>
      <c r="C5830">
        <v>8</v>
      </c>
      <c r="D5830" t="s">
        <v>1447</v>
      </c>
      <c r="E5830" t="s">
        <v>1959</v>
      </c>
      <c r="F5830" t="s">
        <v>1748</v>
      </c>
      <c r="H5830" s="165" t="str">
        <f>IF(ISBLANK('Q 6'!H24),"",IF('Q 6'!H24="&lt;please select&gt;","",'Q 6'!H24))</f>
        <v>1</v>
      </c>
    </row>
    <row r="5831" spans="1:8" x14ac:dyDescent="0.3">
      <c r="A5831" t="s">
        <v>1951</v>
      </c>
      <c r="B5831" t="s">
        <v>1957</v>
      </c>
      <c r="C5831">
        <v>9</v>
      </c>
      <c r="D5831" t="s">
        <v>1447</v>
      </c>
      <c r="E5831" t="s">
        <v>1959</v>
      </c>
      <c r="F5831" t="s">
        <v>1748</v>
      </c>
      <c r="H5831" s="165" t="str">
        <f>IF(ISBLANK('Q 6'!H25),"",IF('Q 6'!H25="&lt;please select&gt;","",'Q 6'!H25))</f>
        <v>2</v>
      </c>
    </row>
    <row r="5832" spans="1:8" x14ac:dyDescent="0.3">
      <c r="A5832" t="s">
        <v>1951</v>
      </c>
      <c r="B5832" t="s">
        <v>1957</v>
      </c>
      <c r="C5832">
        <v>10</v>
      </c>
      <c r="D5832" t="s">
        <v>1447</v>
      </c>
      <c r="E5832" t="s">
        <v>1959</v>
      </c>
      <c r="F5832" t="s">
        <v>1748</v>
      </c>
      <c r="H5832" s="165" t="str">
        <f>IF(ISBLANK('Q 6'!H26),"",IF('Q 6'!H26="&lt;please select&gt;","",'Q 6'!H26))</f>
        <v>3</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3</v>
      </c>
    </row>
    <row r="5835" spans="1:8" x14ac:dyDescent="0.3">
      <c r="A5835" t="s">
        <v>1951</v>
      </c>
      <c r="B5835" t="s">
        <v>1957</v>
      </c>
      <c r="C5835">
        <v>13</v>
      </c>
      <c r="D5835" t="s">
        <v>1447</v>
      </c>
      <c r="E5835" t="s">
        <v>1959</v>
      </c>
      <c r="F5835" t="s">
        <v>1748</v>
      </c>
      <c r="H5835" s="165" t="str">
        <f>IF(ISBLANK('Q 6'!H29),"",IF('Q 6'!H29="&lt;please select&gt;","",'Q 6'!H29))</f>
        <v>3</v>
      </c>
    </row>
    <row r="5836" spans="1:8" x14ac:dyDescent="0.3">
      <c r="A5836" t="s">
        <v>1951</v>
      </c>
      <c r="B5836" t="s">
        <v>1957</v>
      </c>
      <c r="C5836">
        <v>14</v>
      </c>
      <c r="D5836" t="s">
        <v>1447</v>
      </c>
      <c r="E5836" t="s">
        <v>1959</v>
      </c>
      <c r="F5836" t="s">
        <v>1748</v>
      </c>
      <c r="H5836" s="165" t="str">
        <f>IF(ISBLANK('Q 6'!H30),"",IF('Q 6'!H30="&lt;please select&gt;","",'Q 6'!H30))</f>
        <v>3</v>
      </c>
    </row>
    <row r="5837" spans="1:8" x14ac:dyDescent="0.3">
      <c r="A5837" t="s">
        <v>1951</v>
      </c>
      <c r="B5837" t="s">
        <v>1957</v>
      </c>
      <c r="C5837">
        <v>15</v>
      </c>
      <c r="D5837" t="s">
        <v>1447</v>
      </c>
      <c r="E5837" t="s">
        <v>1959</v>
      </c>
      <c r="F5837" t="s">
        <v>1748</v>
      </c>
      <c r="H5837" s="165" t="str">
        <f>IF(ISBLANK('Q 6'!H31),"",IF('Q 6'!H31="&lt;please select&gt;","",'Q 6'!H31))</f>
        <v>3</v>
      </c>
    </row>
    <row r="5838" spans="1:8" x14ac:dyDescent="0.3">
      <c r="A5838" t="s">
        <v>1951</v>
      </c>
      <c r="B5838" t="s">
        <v>1957</v>
      </c>
      <c r="C5838">
        <v>16</v>
      </c>
      <c r="D5838" t="s">
        <v>1447</v>
      </c>
      <c r="E5838" t="s">
        <v>1959</v>
      </c>
      <c r="F5838" t="s">
        <v>1748</v>
      </c>
      <c r="H5838" s="165" t="str">
        <f>IF(ISBLANK('Q 6'!H32),"",IF('Q 6'!H32="&lt;please select&gt;","",'Q 6'!H32))</f>
        <v>2</v>
      </c>
    </row>
    <row r="5839" spans="1:8" x14ac:dyDescent="0.3">
      <c r="A5839" t="s">
        <v>1951</v>
      </c>
      <c r="B5839" t="s">
        <v>1957</v>
      </c>
      <c r="C5839">
        <v>17</v>
      </c>
      <c r="D5839" t="s">
        <v>1447</v>
      </c>
      <c r="E5839" t="s">
        <v>1959</v>
      </c>
      <c r="F5839" t="s">
        <v>1748</v>
      </c>
      <c r="H5839" s="165" t="str">
        <f>IF(ISBLANK('Q 6'!H33),"",IF('Q 6'!H33="&lt;please select&gt;","",'Q 6'!H33))</f>
        <v>2</v>
      </c>
    </row>
    <row r="5840" spans="1:8" x14ac:dyDescent="0.3">
      <c r="A5840" t="s">
        <v>1951</v>
      </c>
      <c r="B5840" t="s">
        <v>1957</v>
      </c>
      <c r="C5840">
        <v>18</v>
      </c>
      <c r="D5840" t="s">
        <v>1447</v>
      </c>
      <c r="E5840" t="s">
        <v>1959</v>
      </c>
      <c r="F5840" t="s">
        <v>1748</v>
      </c>
      <c r="H5840" s="165" t="str">
        <f>IF(ISBLANK('Q 6'!H34),"",IF('Q 6'!H34="&lt;please select&gt;","",'Q 6'!H34))</f>
        <v>2</v>
      </c>
    </row>
    <row r="5841" spans="1:8" x14ac:dyDescent="0.3">
      <c r="A5841" t="s">
        <v>1951</v>
      </c>
      <c r="B5841" t="s">
        <v>1957</v>
      </c>
      <c r="C5841">
        <v>19</v>
      </c>
      <c r="D5841" t="s">
        <v>1447</v>
      </c>
      <c r="E5841" t="s">
        <v>1959</v>
      </c>
      <c r="F5841" t="s">
        <v>1748</v>
      </c>
      <c r="H5841" s="165" t="str">
        <f>IF(ISBLANK('Q 6'!H35),"",IF('Q 6'!H35="&lt;please select&gt;","",'Q 6'!H35))</f>
        <v>2</v>
      </c>
    </row>
    <row r="5842" spans="1:8" x14ac:dyDescent="0.3">
      <c r="A5842" t="s">
        <v>1951</v>
      </c>
      <c r="B5842" t="s">
        <v>1957</v>
      </c>
      <c r="C5842">
        <v>20</v>
      </c>
      <c r="D5842" t="s">
        <v>1447</v>
      </c>
      <c r="E5842" t="s">
        <v>1959</v>
      </c>
      <c r="F5842" t="s">
        <v>1748</v>
      </c>
      <c r="H5842" s="165" t="str">
        <f>IF(ISBLANK('Q 6'!H36),"",IF('Q 6'!H36="&lt;please select&gt;","",'Q 6'!H36))</f>
        <v>2</v>
      </c>
    </row>
    <row r="5843" spans="1:8" x14ac:dyDescent="0.3">
      <c r="A5843" t="s">
        <v>1951</v>
      </c>
      <c r="B5843" t="s">
        <v>1957</v>
      </c>
      <c r="C5843">
        <v>21</v>
      </c>
      <c r="D5843" t="s">
        <v>1447</v>
      </c>
      <c r="E5843" t="s">
        <v>1959</v>
      </c>
      <c r="F5843" t="s">
        <v>1748</v>
      </c>
      <c r="H5843" s="165" t="str">
        <f>IF(ISBLANK('Q 6'!H37),"",IF('Q 6'!H37="&lt;please select&gt;","",'Q 6'!H37))</f>
        <v>2</v>
      </c>
    </row>
    <row r="5844" spans="1:8" x14ac:dyDescent="0.3">
      <c r="A5844" t="s">
        <v>1951</v>
      </c>
      <c r="B5844" t="s">
        <v>1957</v>
      </c>
      <c r="C5844">
        <v>22</v>
      </c>
      <c r="D5844" t="s">
        <v>1447</v>
      </c>
      <c r="E5844" t="s">
        <v>1959</v>
      </c>
      <c r="F5844" t="s">
        <v>1748</v>
      </c>
      <c r="H5844" s="165" t="str">
        <f>IF(ISBLANK('Q 6'!H38),"",IF('Q 6'!H38="&lt;please select&gt;","",'Q 6'!H38))</f>
        <v>2</v>
      </c>
    </row>
    <row r="5845" spans="1:8" x14ac:dyDescent="0.3">
      <c r="A5845" t="s">
        <v>1951</v>
      </c>
      <c r="B5845" t="s">
        <v>1957</v>
      </c>
      <c r="C5845">
        <v>23</v>
      </c>
      <c r="D5845" t="s">
        <v>1447</v>
      </c>
      <c r="E5845" t="s">
        <v>1959</v>
      </c>
      <c r="F5845" t="s">
        <v>1748</v>
      </c>
      <c r="H5845" s="165" t="str">
        <f>IF(ISBLANK('Q 6'!H39),"",IF('Q 6'!H39="&lt;please select&gt;","",'Q 6'!H39))</f>
        <v>2</v>
      </c>
    </row>
    <row r="5846" spans="1:8" x14ac:dyDescent="0.3">
      <c r="A5846" t="s">
        <v>1951</v>
      </c>
      <c r="B5846" t="s">
        <v>1957</v>
      </c>
      <c r="C5846">
        <v>24</v>
      </c>
      <c r="D5846" t="s">
        <v>1447</v>
      </c>
      <c r="E5846" t="s">
        <v>1959</v>
      </c>
      <c r="F5846" t="s">
        <v>1748</v>
      </c>
      <c r="H5846" s="165" t="str">
        <f>IF(ISBLANK('Q 6'!H40),"",IF('Q 6'!H40="&lt;please select&gt;","",'Q 6'!H40))</f>
        <v>3</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3</v>
      </c>
    </row>
    <row r="5858" spans="1:8" x14ac:dyDescent="0.3">
      <c r="A5858" t="s">
        <v>1951</v>
      </c>
      <c r="B5858" t="s">
        <v>1957</v>
      </c>
      <c r="C5858">
        <v>2</v>
      </c>
      <c r="D5858" t="s">
        <v>1447</v>
      </c>
      <c r="E5858" t="s">
        <v>1960</v>
      </c>
      <c r="F5858" t="s">
        <v>1748</v>
      </c>
      <c r="H5858" s="165" t="str">
        <f>IF(ISBLANK('Q 6'!I18),"",IF('Q 6'!I18="&lt;please select&gt;","",'Q 6'!I18))</f>
        <v>3</v>
      </c>
    </row>
    <row r="5859" spans="1:8" x14ac:dyDescent="0.3">
      <c r="A5859" t="s">
        <v>1951</v>
      </c>
      <c r="B5859" t="s">
        <v>1957</v>
      </c>
      <c r="C5859">
        <v>3</v>
      </c>
      <c r="D5859" t="s">
        <v>1447</v>
      </c>
      <c r="E5859" t="s">
        <v>1960</v>
      </c>
      <c r="F5859" t="s">
        <v>1748</v>
      </c>
      <c r="H5859" s="165" t="str">
        <f>IF(ISBLANK('Q 6'!I19),"",IF('Q 6'!I19="&lt;please select&gt;","",'Q 6'!I19))</f>
        <v>3</v>
      </c>
    </row>
    <row r="5860" spans="1:8" x14ac:dyDescent="0.3">
      <c r="A5860" t="s">
        <v>1951</v>
      </c>
      <c r="B5860" t="s">
        <v>1957</v>
      </c>
      <c r="C5860">
        <v>4</v>
      </c>
      <c r="D5860" t="s">
        <v>1447</v>
      </c>
      <c r="E5860" t="s">
        <v>1960</v>
      </c>
      <c r="F5860" t="s">
        <v>1748</v>
      </c>
      <c r="H5860" s="165" t="str">
        <f>IF(ISBLANK('Q 6'!I20),"",IF('Q 6'!I20="&lt;please select&gt;","",'Q 6'!I20))</f>
        <v>3</v>
      </c>
    </row>
    <row r="5861" spans="1:8" x14ac:dyDescent="0.3">
      <c r="A5861" t="s">
        <v>1951</v>
      </c>
      <c r="B5861" t="s">
        <v>1957</v>
      </c>
      <c r="C5861">
        <v>5</v>
      </c>
      <c r="D5861" t="s">
        <v>1447</v>
      </c>
      <c r="E5861" t="s">
        <v>1960</v>
      </c>
      <c r="F5861" t="s">
        <v>1748</v>
      </c>
      <c r="H5861" s="165" t="str">
        <f>IF(ISBLANK('Q 6'!I21),"",IF('Q 6'!I21="&lt;please select&gt;","",'Q 6'!I21))</f>
        <v>3</v>
      </c>
    </row>
    <row r="5862" spans="1:8" x14ac:dyDescent="0.3">
      <c r="A5862" t="s">
        <v>1951</v>
      </c>
      <c r="B5862" t="s">
        <v>1957</v>
      </c>
      <c r="C5862">
        <v>6</v>
      </c>
      <c r="D5862" t="s">
        <v>1447</v>
      </c>
      <c r="E5862" t="s">
        <v>1960</v>
      </c>
      <c r="F5862" t="s">
        <v>1748</v>
      </c>
      <c r="H5862" s="165" t="str">
        <f>IF(ISBLANK('Q 6'!I22),"",IF('Q 6'!I22="&lt;please select&gt;","",'Q 6'!I22))</f>
        <v>3</v>
      </c>
    </row>
    <row r="5863" spans="1:8" x14ac:dyDescent="0.3">
      <c r="A5863" t="s">
        <v>1951</v>
      </c>
      <c r="B5863" t="s">
        <v>1957</v>
      </c>
      <c r="C5863">
        <v>7</v>
      </c>
      <c r="D5863" t="s">
        <v>1447</v>
      </c>
      <c r="E5863" t="s">
        <v>1960</v>
      </c>
      <c r="F5863" t="s">
        <v>1748</v>
      </c>
      <c r="H5863" s="165" t="str">
        <f>IF(ISBLANK('Q 6'!I23),"",IF('Q 6'!I23="&lt;please select&gt;","",'Q 6'!I23))</f>
        <v>2</v>
      </c>
    </row>
    <row r="5864" spans="1:8" x14ac:dyDescent="0.3">
      <c r="A5864" t="s">
        <v>1951</v>
      </c>
      <c r="B5864" t="s">
        <v>1957</v>
      </c>
      <c r="C5864">
        <v>8</v>
      </c>
      <c r="D5864" t="s">
        <v>1447</v>
      </c>
      <c r="E5864" t="s">
        <v>1960</v>
      </c>
      <c r="F5864" t="s">
        <v>1748</v>
      </c>
      <c r="H5864" s="165" t="str">
        <f>IF(ISBLANK('Q 6'!I24),"",IF('Q 6'!I24="&lt;please select&gt;","",'Q 6'!I24))</f>
        <v>1</v>
      </c>
    </row>
    <row r="5865" spans="1:8" x14ac:dyDescent="0.3">
      <c r="A5865" t="s">
        <v>1951</v>
      </c>
      <c r="B5865" t="s">
        <v>1957</v>
      </c>
      <c r="C5865">
        <v>9</v>
      </c>
      <c r="D5865" t="s">
        <v>1447</v>
      </c>
      <c r="E5865" t="s">
        <v>1960</v>
      </c>
      <c r="F5865" t="s">
        <v>1748</v>
      </c>
      <c r="H5865" s="165" t="str">
        <f>IF(ISBLANK('Q 6'!I25),"",IF('Q 6'!I25="&lt;please select&gt;","",'Q 6'!I25))</f>
        <v>2</v>
      </c>
    </row>
    <row r="5866" spans="1:8" x14ac:dyDescent="0.3">
      <c r="A5866" t="s">
        <v>1951</v>
      </c>
      <c r="B5866" t="s">
        <v>1957</v>
      </c>
      <c r="C5866">
        <v>10</v>
      </c>
      <c r="D5866" t="s">
        <v>1447</v>
      </c>
      <c r="E5866" t="s">
        <v>1960</v>
      </c>
      <c r="F5866" t="s">
        <v>1748</v>
      </c>
      <c r="H5866" s="165" t="str">
        <f>IF(ISBLANK('Q 6'!I26),"",IF('Q 6'!I26="&lt;please select&gt;","",'Q 6'!I26))</f>
        <v>3</v>
      </c>
    </row>
    <row r="5867" spans="1:8" x14ac:dyDescent="0.3">
      <c r="A5867" t="s">
        <v>1951</v>
      </c>
      <c r="B5867" t="s">
        <v>1957</v>
      </c>
      <c r="C5867">
        <v>11</v>
      </c>
      <c r="D5867" t="s">
        <v>1447</v>
      </c>
      <c r="E5867" t="s">
        <v>1960</v>
      </c>
      <c r="F5867" t="s">
        <v>1748</v>
      </c>
      <c r="H5867" s="165" t="str">
        <f>IF(ISBLANK('Q 6'!I27),"",IF('Q 6'!I27="&lt;please select&gt;","",'Q 6'!I27))</f>
        <v>3</v>
      </c>
    </row>
    <row r="5868" spans="1:8" x14ac:dyDescent="0.3">
      <c r="A5868" t="s">
        <v>1951</v>
      </c>
      <c r="B5868" t="s">
        <v>1957</v>
      </c>
      <c r="C5868">
        <v>12</v>
      </c>
      <c r="D5868" t="s">
        <v>1447</v>
      </c>
      <c r="E5868" t="s">
        <v>1960</v>
      </c>
      <c r="F5868" t="s">
        <v>1748</v>
      </c>
      <c r="H5868" s="165" t="str">
        <f>IF(ISBLANK('Q 6'!I28),"",IF('Q 6'!I28="&lt;please select&gt;","",'Q 6'!I28))</f>
        <v>3</v>
      </c>
    </row>
    <row r="5869" spans="1:8" x14ac:dyDescent="0.3">
      <c r="A5869" t="s">
        <v>1951</v>
      </c>
      <c r="B5869" t="s">
        <v>1957</v>
      </c>
      <c r="C5869">
        <v>13</v>
      </c>
      <c r="D5869" t="s">
        <v>1447</v>
      </c>
      <c r="E5869" t="s">
        <v>1960</v>
      </c>
      <c r="F5869" t="s">
        <v>1748</v>
      </c>
      <c r="H5869" s="165" t="str">
        <f>IF(ISBLANK('Q 6'!I29),"",IF('Q 6'!I29="&lt;please select&gt;","",'Q 6'!I29))</f>
        <v>3</v>
      </c>
    </row>
    <row r="5870" spans="1:8" x14ac:dyDescent="0.3">
      <c r="A5870" t="s">
        <v>1951</v>
      </c>
      <c r="B5870" t="s">
        <v>1957</v>
      </c>
      <c r="C5870">
        <v>14</v>
      </c>
      <c r="D5870" t="s">
        <v>1447</v>
      </c>
      <c r="E5870" t="s">
        <v>1960</v>
      </c>
      <c r="F5870" t="s">
        <v>1748</v>
      </c>
      <c r="H5870" s="165" t="str">
        <f>IF(ISBLANK('Q 6'!I30),"",IF('Q 6'!I30="&lt;please select&gt;","",'Q 6'!I30))</f>
        <v>3</v>
      </c>
    </row>
    <row r="5871" spans="1:8" x14ac:dyDescent="0.3">
      <c r="A5871" t="s">
        <v>1951</v>
      </c>
      <c r="B5871" t="s">
        <v>1957</v>
      </c>
      <c r="C5871">
        <v>15</v>
      </c>
      <c r="D5871" t="s">
        <v>1447</v>
      </c>
      <c r="E5871" t="s">
        <v>1960</v>
      </c>
      <c r="F5871" t="s">
        <v>1748</v>
      </c>
      <c r="H5871" s="165" t="str">
        <f>IF(ISBLANK('Q 6'!I31),"",IF('Q 6'!I31="&lt;please select&gt;","",'Q 6'!I31))</f>
        <v>3</v>
      </c>
    </row>
    <row r="5872" spans="1:8" x14ac:dyDescent="0.3">
      <c r="A5872" t="s">
        <v>1951</v>
      </c>
      <c r="B5872" t="s">
        <v>1957</v>
      </c>
      <c r="C5872">
        <v>16</v>
      </c>
      <c r="D5872" t="s">
        <v>1447</v>
      </c>
      <c r="E5872" t="s">
        <v>1960</v>
      </c>
      <c r="F5872" t="s">
        <v>1748</v>
      </c>
      <c r="H5872" s="165" t="str">
        <f>IF(ISBLANK('Q 6'!I32),"",IF('Q 6'!I32="&lt;please select&gt;","",'Q 6'!I32))</f>
        <v>2</v>
      </c>
    </row>
    <row r="5873" spans="1:8" x14ac:dyDescent="0.3">
      <c r="A5873" t="s">
        <v>1951</v>
      </c>
      <c r="B5873" t="s">
        <v>1957</v>
      </c>
      <c r="C5873">
        <v>17</v>
      </c>
      <c r="D5873" t="s">
        <v>1447</v>
      </c>
      <c r="E5873" t="s">
        <v>1960</v>
      </c>
      <c r="F5873" t="s">
        <v>1748</v>
      </c>
      <c r="H5873" s="165" t="str">
        <f>IF(ISBLANK('Q 6'!I33),"",IF('Q 6'!I33="&lt;please select&gt;","",'Q 6'!I33))</f>
        <v>2</v>
      </c>
    </row>
    <row r="5874" spans="1:8" x14ac:dyDescent="0.3">
      <c r="A5874" t="s">
        <v>1951</v>
      </c>
      <c r="B5874" t="s">
        <v>1957</v>
      </c>
      <c r="C5874">
        <v>18</v>
      </c>
      <c r="D5874" t="s">
        <v>1447</v>
      </c>
      <c r="E5874" t="s">
        <v>1960</v>
      </c>
      <c r="F5874" t="s">
        <v>1748</v>
      </c>
      <c r="H5874" s="165" t="str">
        <f>IF(ISBLANK('Q 6'!I34),"",IF('Q 6'!I34="&lt;please select&gt;","",'Q 6'!I34))</f>
        <v>2</v>
      </c>
    </row>
    <row r="5875" spans="1:8" x14ac:dyDescent="0.3">
      <c r="A5875" t="s">
        <v>1951</v>
      </c>
      <c r="B5875" t="s">
        <v>1957</v>
      </c>
      <c r="C5875">
        <v>19</v>
      </c>
      <c r="D5875" t="s">
        <v>1447</v>
      </c>
      <c r="E5875" t="s">
        <v>1960</v>
      </c>
      <c r="F5875" t="s">
        <v>1748</v>
      </c>
      <c r="H5875" s="165" t="str">
        <f>IF(ISBLANK('Q 6'!I35),"",IF('Q 6'!I35="&lt;please select&gt;","",'Q 6'!I35))</f>
        <v>2</v>
      </c>
    </row>
    <row r="5876" spans="1:8" x14ac:dyDescent="0.3">
      <c r="A5876" t="s">
        <v>1951</v>
      </c>
      <c r="B5876" t="s">
        <v>1957</v>
      </c>
      <c r="C5876">
        <v>20</v>
      </c>
      <c r="D5876" t="s">
        <v>1447</v>
      </c>
      <c r="E5876" t="s">
        <v>1960</v>
      </c>
      <c r="F5876" t="s">
        <v>1748</v>
      </c>
      <c r="H5876" s="165" t="str">
        <f>IF(ISBLANK('Q 6'!I36),"",IF('Q 6'!I36="&lt;please select&gt;","",'Q 6'!I36))</f>
        <v>2</v>
      </c>
    </row>
    <row r="5877" spans="1:8" x14ac:dyDescent="0.3">
      <c r="A5877" t="s">
        <v>1951</v>
      </c>
      <c r="B5877" t="s">
        <v>1957</v>
      </c>
      <c r="C5877">
        <v>21</v>
      </c>
      <c r="D5877" t="s">
        <v>1447</v>
      </c>
      <c r="E5877" t="s">
        <v>1960</v>
      </c>
      <c r="F5877" t="s">
        <v>1748</v>
      </c>
      <c r="H5877" s="165" t="str">
        <f>IF(ISBLANK('Q 6'!I37),"",IF('Q 6'!I37="&lt;please select&gt;","",'Q 6'!I37))</f>
        <v>2</v>
      </c>
    </row>
    <row r="5878" spans="1:8" x14ac:dyDescent="0.3">
      <c r="A5878" t="s">
        <v>1951</v>
      </c>
      <c r="B5878" t="s">
        <v>1957</v>
      </c>
      <c r="C5878">
        <v>22</v>
      </c>
      <c r="D5878" t="s">
        <v>1447</v>
      </c>
      <c r="E5878" t="s">
        <v>1960</v>
      </c>
      <c r="F5878" t="s">
        <v>1748</v>
      </c>
      <c r="H5878" s="165" t="str">
        <f>IF(ISBLANK('Q 6'!I38),"",IF('Q 6'!I38="&lt;please select&gt;","",'Q 6'!I38))</f>
        <v>2</v>
      </c>
    </row>
    <row r="5879" spans="1:8" x14ac:dyDescent="0.3">
      <c r="A5879" t="s">
        <v>1951</v>
      </c>
      <c r="B5879" t="s">
        <v>1957</v>
      </c>
      <c r="C5879">
        <v>23</v>
      </c>
      <c r="D5879" t="s">
        <v>1447</v>
      </c>
      <c r="E5879" t="s">
        <v>1960</v>
      </c>
      <c r="F5879" t="s">
        <v>1748</v>
      </c>
      <c r="H5879" s="165" t="str">
        <f>IF(ISBLANK('Q 6'!I39),"",IF('Q 6'!I39="&lt;please select&gt;","",'Q 6'!I39))</f>
        <v>2</v>
      </c>
    </row>
    <row r="5880" spans="1:8" x14ac:dyDescent="0.3">
      <c r="A5880" t="s">
        <v>1951</v>
      </c>
      <c r="B5880" t="s">
        <v>1957</v>
      </c>
      <c r="C5880">
        <v>24</v>
      </c>
      <c r="D5880" t="s">
        <v>1447</v>
      </c>
      <c r="E5880" t="s">
        <v>1960</v>
      </c>
      <c r="F5880" t="s">
        <v>1748</v>
      </c>
      <c r="H5880" s="165" t="str">
        <f>IF(ISBLANK('Q 6'!I40),"",IF('Q 6'!I40="&lt;please select&gt;","",'Q 6'!I40))</f>
        <v>3</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No</v>
      </c>
    </row>
    <row r="5892" spans="1:11" x14ac:dyDescent="0.3">
      <c r="A5892" t="s">
        <v>1961</v>
      </c>
      <c r="B5892" t="s">
        <v>1962</v>
      </c>
      <c r="C5892">
        <v>1</v>
      </c>
      <c r="D5892" t="s">
        <v>1447</v>
      </c>
      <c r="E5892" t="s">
        <v>1964</v>
      </c>
      <c r="F5892" t="s">
        <v>1759</v>
      </c>
      <c r="K5892" t="str">
        <f>IF(ISBLANK('Q 6'!$I$56),"",IF('Q 6'!$I$56="&lt;please select&gt;","",'Q 6'!$I$56))</f>
        <v>Yes</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No</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Yes</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0</v>
      </c>
    </row>
    <row r="5901" spans="1:11" x14ac:dyDescent="0.3">
      <c r="A5901" t="s">
        <v>1961</v>
      </c>
      <c r="B5901" t="s">
        <v>1965</v>
      </c>
      <c r="C5901">
        <v>2</v>
      </c>
      <c r="D5901" t="s">
        <v>1447</v>
      </c>
      <c r="E5901" t="s">
        <v>1967</v>
      </c>
      <c r="F5901" t="s">
        <v>1748</v>
      </c>
      <c r="H5901" s="165" t="str">
        <f>IF(ISBLANK('Q 6'!$H$64),"",IF('Q 6'!$H$64="&lt;please select&gt;","",'Q 6'!$H$64))</f>
        <v>0</v>
      </c>
    </row>
    <row r="5902" spans="1:11" x14ac:dyDescent="0.3">
      <c r="A5902" t="s">
        <v>1961</v>
      </c>
      <c r="B5902" t="s">
        <v>1965</v>
      </c>
      <c r="C5902">
        <v>2</v>
      </c>
      <c r="D5902" t="s">
        <v>1447</v>
      </c>
      <c r="E5902" t="s">
        <v>1968</v>
      </c>
      <c r="F5902" t="s">
        <v>1748</v>
      </c>
      <c r="H5902" s="165" t="str">
        <f>IF(ISBLANK('Q 6'!$I$64),"",IF('Q 6'!$I$64="&lt;please select&gt;","",'Q 6'!$I$64))</f>
        <v>0</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0</v>
      </c>
    </row>
    <row r="5908" spans="1:8" x14ac:dyDescent="0.3">
      <c r="A5908" t="s">
        <v>1961</v>
      </c>
      <c r="B5908" t="s">
        <v>1971</v>
      </c>
      <c r="C5908">
        <v>2</v>
      </c>
      <c r="D5908" t="s">
        <v>1447</v>
      </c>
      <c r="E5908" t="s">
        <v>1973</v>
      </c>
      <c r="F5908" t="s">
        <v>1748</v>
      </c>
      <c r="H5908" s="165" t="str">
        <f>IF(ISBLANK('Q 6'!$H$69),"",IF('Q 6'!$H$69="&lt;please select&gt;","",'Q 6'!$H$69))</f>
        <v>0</v>
      </c>
    </row>
    <row r="5909" spans="1:8" x14ac:dyDescent="0.3">
      <c r="A5909" t="s">
        <v>1961</v>
      </c>
      <c r="B5909" t="s">
        <v>1971</v>
      </c>
      <c r="C5909">
        <v>2</v>
      </c>
      <c r="D5909" t="s">
        <v>1447</v>
      </c>
      <c r="E5909" t="s">
        <v>1974</v>
      </c>
      <c r="F5909" t="s">
        <v>1748</v>
      </c>
      <c r="H5909" s="165" t="str">
        <f>IF(ISBLANK('Q 6'!$I$69),"",IF('Q 6'!$I$69="&lt;please select&gt;","",'Q 6'!$I$69))</f>
        <v>0</v>
      </c>
    </row>
    <row r="5910" spans="1:8" x14ac:dyDescent="0.3">
      <c r="A5910" t="s">
        <v>1961</v>
      </c>
      <c r="B5910" t="s">
        <v>1971</v>
      </c>
      <c r="C5910">
        <v>3</v>
      </c>
      <c r="D5910" t="s">
        <v>1447</v>
      </c>
      <c r="E5910" t="s">
        <v>1972</v>
      </c>
      <c r="F5910" t="s">
        <v>1748</v>
      </c>
      <c r="H5910" s="165" t="str">
        <f>IF(ISBLANK('Q 6'!$G$71),"",IF('Q 6'!$G$71="&lt;please select&gt;","",'Q 6'!$G$71))</f>
        <v>10</v>
      </c>
    </row>
    <row r="5911" spans="1:8" x14ac:dyDescent="0.3">
      <c r="A5911" t="s">
        <v>1961</v>
      </c>
      <c r="B5911" t="s">
        <v>1971</v>
      </c>
      <c r="C5911">
        <v>3</v>
      </c>
      <c r="D5911" t="s">
        <v>1447</v>
      </c>
      <c r="E5911" t="s">
        <v>1973</v>
      </c>
      <c r="F5911" t="s">
        <v>1748</v>
      </c>
      <c r="H5911" s="165" t="str">
        <f>IF(ISBLANK('Q 6'!$H$71),"",IF('Q 6'!$H$71="&lt;please select&gt;","",'Q 6'!$H$71))</f>
        <v>5</v>
      </c>
    </row>
    <row r="5912" spans="1:8" x14ac:dyDescent="0.3">
      <c r="A5912" t="s">
        <v>1961</v>
      </c>
      <c r="B5912" t="s">
        <v>1971</v>
      </c>
      <c r="C5912">
        <v>3</v>
      </c>
      <c r="D5912" t="s">
        <v>1447</v>
      </c>
      <c r="E5912" t="s">
        <v>1974</v>
      </c>
      <c r="F5912" t="s">
        <v>1748</v>
      </c>
      <c r="H5912" s="165" t="str">
        <f>IF(ISBLANK('Q 6'!$I$71),"",IF('Q 6'!$I$71="&lt;please select&gt;","",'Q 6'!$I$71))</f>
        <v>4</v>
      </c>
    </row>
    <row r="5913" spans="1:8" x14ac:dyDescent="0.3">
      <c r="A5913" t="s">
        <v>1975</v>
      </c>
      <c r="B5913" t="s">
        <v>1976</v>
      </c>
      <c r="C5913">
        <v>1</v>
      </c>
      <c r="D5913" t="s">
        <v>1447</v>
      </c>
      <c r="E5913" t="s">
        <v>1868</v>
      </c>
      <c r="F5913" t="s">
        <v>1741</v>
      </c>
      <c r="G5913" t="str">
        <f>IF(ISBLANK('Q 6'!C78),"",IF('Q 6'!C78="&lt;please select&gt;","",'Q 6'!C78))</f>
        <v>125</v>
      </c>
    </row>
    <row r="5914" spans="1:8" x14ac:dyDescent="0.3">
      <c r="A5914" t="s">
        <v>1975</v>
      </c>
      <c r="B5914" t="s">
        <v>1976</v>
      </c>
      <c r="C5914">
        <v>2</v>
      </c>
      <c r="D5914" t="s">
        <v>1447</v>
      </c>
      <c r="E5914" t="s">
        <v>1868</v>
      </c>
      <c r="F5914" t="s">
        <v>1741</v>
      </c>
      <c r="G5914" t="str">
        <f>IF(ISBLANK('Q 6'!C79),"",IF('Q 6'!C79="&lt;please select&gt;","",'Q 6'!C79))</f>
        <v>58</v>
      </c>
    </row>
    <row r="5915" spans="1:8" x14ac:dyDescent="0.3">
      <c r="A5915" t="s">
        <v>1975</v>
      </c>
      <c r="B5915" t="s">
        <v>1976</v>
      </c>
      <c r="C5915">
        <v>3</v>
      </c>
      <c r="D5915" t="s">
        <v>1447</v>
      </c>
      <c r="E5915" t="s">
        <v>1868</v>
      </c>
      <c r="F5915" t="s">
        <v>1741</v>
      </c>
      <c r="G5915" t="str">
        <f>IF(ISBLANK('Q 6'!C80),"",IF('Q 6'!C80="&lt;please select&gt;","",'Q 6'!C80))</f>
        <v>46</v>
      </c>
    </row>
    <row r="5916" spans="1:8" x14ac:dyDescent="0.3">
      <c r="A5916" t="s">
        <v>1975</v>
      </c>
      <c r="B5916" t="s">
        <v>1976</v>
      </c>
      <c r="C5916">
        <v>4</v>
      </c>
      <c r="D5916" t="s">
        <v>1447</v>
      </c>
      <c r="E5916" t="s">
        <v>1868</v>
      </c>
      <c r="F5916" t="s">
        <v>1741</v>
      </c>
      <c r="G5916" t="str">
        <f>IF(ISBLANK('Q 6'!C81),"",IF('Q 6'!C81="&lt;please select&gt;","",'Q 6'!C81))</f>
        <v>135</v>
      </c>
    </row>
    <row r="5917" spans="1:8" x14ac:dyDescent="0.3">
      <c r="A5917" t="s">
        <v>1975</v>
      </c>
      <c r="B5917" t="s">
        <v>1976</v>
      </c>
      <c r="C5917">
        <v>5</v>
      </c>
      <c r="D5917" t="s">
        <v>1447</v>
      </c>
      <c r="E5917" t="s">
        <v>1868</v>
      </c>
      <c r="F5917" t="s">
        <v>1741</v>
      </c>
      <c r="G5917" t="str">
        <f>IF(ISBLANK('Q 6'!C82),"",IF('Q 6'!C82="&lt;please select&gt;","",'Q 6'!C82))</f>
        <v>131</v>
      </c>
    </row>
    <row r="5918" spans="1:8" x14ac:dyDescent="0.3">
      <c r="A5918" t="s">
        <v>1975</v>
      </c>
      <c r="B5918" t="s">
        <v>1976</v>
      </c>
      <c r="C5918">
        <v>6</v>
      </c>
      <c r="D5918" t="s">
        <v>1447</v>
      </c>
      <c r="E5918" t="s">
        <v>1868</v>
      </c>
      <c r="F5918" t="s">
        <v>1741</v>
      </c>
      <c r="G5918" t="str">
        <f>IF(ISBLANK('Q 6'!C83),"",IF('Q 6'!C83="&lt;please select&gt;","",'Q 6'!C83))</f>
        <v>148</v>
      </c>
    </row>
    <row r="5919" spans="1:8" x14ac:dyDescent="0.3">
      <c r="A5919" t="s">
        <v>1975</v>
      </c>
      <c r="B5919" t="s">
        <v>1976</v>
      </c>
      <c r="C5919">
        <v>7</v>
      </c>
      <c r="D5919" t="s">
        <v>1447</v>
      </c>
      <c r="E5919" t="s">
        <v>1868</v>
      </c>
      <c r="F5919" t="s">
        <v>1741</v>
      </c>
      <c r="G5919" t="str">
        <f>IF(ISBLANK('Q 6'!C84),"",IF('Q 6'!C84="&lt;please select&gt;","",'Q 6'!C84))</f>
        <v>203535</v>
      </c>
    </row>
    <row r="5920" spans="1:8" x14ac:dyDescent="0.3">
      <c r="A5920" t="s">
        <v>1975</v>
      </c>
      <c r="B5920" t="s">
        <v>1976</v>
      </c>
      <c r="C5920">
        <v>8</v>
      </c>
      <c r="D5920" t="s">
        <v>1447</v>
      </c>
      <c r="E5920" t="s">
        <v>1868</v>
      </c>
      <c r="F5920" t="s">
        <v>1741</v>
      </c>
      <c r="G5920" t="str">
        <f>IF(ISBLANK('Q 6'!C85),"",IF('Q 6'!C85="&lt;please select&gt;","",'Q 6'!C85))</f>
        <v>202192</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0</v>
      </c>
    </row>
    <row r="5954" spans="1:9" x14ac:dyDescent="0.3">
      <c r="A5954" t="s">
        <v>1975</v>
      </c>
      <c r="B5954" t="s">
        <v>1976</v>
      </c>
      <c r="C5954">
        <v>2</v>
      </c>
      <c r="D5954" t="s">
        <v>1447</v>
      </c>
      <c r="E5954" t="s">
        <v>1977</v>
      </c>
      <c r="F5954" t="s">
        <v>1806</v>
      </c>
      <c r="I5954" s="165" t="str">
        <f>IF(ISBLANK('Q 6'!D79),"",IF('Q 6'!D79="&lt;please select&gt;","",'Q 6'!D79))</f>
        <v>0</v>
      </c>
    </row>
    <row r="5955" spans="1:9" x14ac:dyDescent="0.3">
      <c r="A5955" t="s">
        <v>1975</v>
      </c>
      <c r="B5955" t="s">
        <v>1976</v>
      </c>
      <c r="C5955">
        <v>3</v>
      </c>
      <c r="D5955" t="s">
        <v>1447</v>
      </c>
      <c r="E5955" t="s">
        <v>1977</v>
      </c>
      <c r="F5955" t="s">
        <v>1806</v>
      </c>
      <c r="I5955" s="165" t="str">
        <f>IF(ISBLANK('Q 6'!D80),"",IF('Q 6'!D80="&lt;please select&gt;","",'Q 6'!D80))</f>
        <v>0</v>
      </c>
    </row>
    <row r="5956" spans="1:9" x14ac:dyDescent="0.3">
      <c r="A5956" t="s">
        <v>1975</v>
      </c>
      <c r="B5956" t="s">
        <v>1976</v>
      </c>
      <c r="C5956">
        <v>4</v>
      </c>
      <c r="D5956" t="s">
        <v>1447</v>
      </c>
      <c r="E5956" t="s">
        <v>1977</v>
      </c>
      <c r="F5956" t="s">
        <v>1806</v>
      </c>
      <c r="I5956" s="165" t="str">
        <f>IF(ISBLANK('Q 6'!D81),"",IF('Q 6'!D81="&lt;please select&gt;","",'Q 6'!D81))</f>
        <v>0</v>
      </c>
    </row>
    <row r="5957" spans="1:9" x14ac:dyDescent="0.3">
      <c r="A5957" t="s">
        <v>1975</v>
      </c>
      <c r="B5957" t="s">
        <v>1976</v>
      </c>
      <c r="C5957">
        <v>5</v>
      </c>
      <c r="D5957" t="s">
        <v>1447</v>
      </c>
      <c r="E5957" t="s">
        <v>1977</v>
      </c>
      <c r="F5957" t="s">
        <v>1806</v>
      </c>
      <c r="I5957" s="165" t="str">
        <f>IF(ISBLANK('Q 6'!D82),"",IF('Q 6'!D82="&lt;please select&gt;","",'Q 6'!D82))</f>
        <v>3960.139496</v>
      </c>
    </row>
    <row r="5958" spans="1:9" x14ac:dyDescent="0.3">
      <c r="A5958" t="s">
        <v>1975</v>
      </c>
      <c r="B5958" t="s">
        <v>1976</v>
      </c>
      <c r="C5958">
        <v>6</v>
      </c>
      <c r="D5958" t="s">
        <v>1447</v>
      </c>
      <c r="E5958" t="s">
        <v>1977</v>
      </c>
      <c r="F5958" t="s">
        <v>1806</v>
      </c>
      <c r="I5958" s="165" t="str">
        <f>IF(ISBLANK('Q 6'!D83),"",IF('Q 6'!D83="&lt;please select&gt;","",'Q 6'!D83))</f>
        <v>245</v>
      </c>
    </row>
    <row r="5959" spans="1:9" x14ac:dyDescent="0.3">
      <c r="A5959" t="s">
        <v>1975</v>
      </c>
      <c r="B5959" t="s">
        <v>1976</v>
      </c>
      <c r="C5959">
        <v>7</v>
      </c>
      <c r="D5959" t="s">
        <v>1447</v>
      </c>
      <c r="E5959" t="s">
        <v>1977</v>
      </c>
      <c r="F5959" t="s">
        <v>1806</v>
      </c>
      <c r="I5959" s="165" t="str">
        <f>IF(ISBLANK('Q 6'!D84),"",IF('Q 6'!D84="&lt;please select&gt;","",'Q 6'!D84))</f>
        <v>0</v>
      </c>
    </row>
    <row r="5960" spans="1:9" x14ac:dyDescent="0.3">
      <c r="A5960" t="s">
        <v>1975</v>
      </c>
      <c r="B5960" t="s">
        <v>1976</v>
      </c>
      <c r="C5960">
        <v>8</v>
      </c>
      <c r="D5960" t="s">
        <v>1447</v>
      </c>
      <c r="E5960" t="s">
        <v>1977</v>
      </c>
      <c r="F5960" t="s">
        <v>1806</v>
      </c>
      <c r="I5960" s="165" t="str">
        <f>IF(ISBLANK('Q 6'!D85),"",IF('Q 6'!D85="&lt;please select&gt;","",'Q 6'!D85))</f>
        <v>0</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No emission report submitted by the 31st of March</v>
      </c>
    </row>
    <row r="5994" spans="1:11" x14ac:dyDescent="0.3">
      <c r="A5994" t="s">
        <v>1975</v>
      </c>
      <c r="B5994" t="s">
        <v>1976</v>
      </c>
      <c r="C5994">
        <v>2</v>
      </c>
      <c r="D5994" t="s">
        <v>1447</v>
      </c>
      <c r="E5994" t="s">
        <v>1978</v>
      </c>
      <c r="F5994" t="s">
        <v>1737</v>
      </c>
      <c r="K5994" t="str">
        <f>IF(ISBLANK('Q 6'!E79),"",IF('Q 6'!E79="&lt;please select&gt;","",'Q 6'!E79))</f>
        <v>No emission report submitted by the 31st of March</v>
      </c>
    </row>
    <row r="5995" spans="1:11" x14ac:dyDescent="0.3">
      <c r="A5995" t="s">
        <v>1975</v>
      </c>
      <c r="B5995" t="s">
        <v>1976</v>
      </c>
      <c r="C5995">
        <v>3</v>
      </c>
      <c r="D5995" t="s">
        <v>1447</v>
      </c>
      <c r="E5995" t="s">
        <v>1978</v>
      </c>
      <c r="F5995" t="s">
        <v>1737</v>
      </c>
      <c r="K5995" t="str">
        <f>IF(ISBLANK('Q 6'!E80),"",IF('Q 6'!E80="&lt;please select&gt;","",'Q 6'!E80))</f>
        <v>No emission report submitted by the 31st of March</v>
      </c>
    </row>
    <row r="5996" spans="1:11" x14ac:dyDescent="0.3">
      <c r="A5996" t="s">
        <v>1975</v>
      </c>
      <c r="B5996" t="s">
        <v>1976</v>
      </c>
      <c r="C5996">
        <v>4</v>
      </c>
      <c r="D5996" t="s">
        <v>1447</v>
      </c>
      <c r="E5996" t="s">
        <v>1978</v>
      </c>
      <c r="F5996" t="s">
        <v>1737</v>
      </c>
      <c r="K5996" t="str">
        <f>IF(ISBLANK('Q 6'!E81),"",IF('Q 6'!E81="&lt;please select&gt;","",'Q 6'!E81))</f>
        <v>No emission report submitted by the 31st of March</v>
      </c>
    </row>
    <row r="5997" spans="1:11" x14ac:dyDescent="0.3">
      <c r="A5997" t="s">
        <v>1975</v>
      </c>
      <c r="B5997" t="s">
        <v>1976</v>
      </c>
      <c r="C5997">
        <v>5</v>
      </c>
      <c r="D5997" t="s">
        <v>1447</v>
      </c>
      <c r="E5997" t="s">
        <v>1978</v>
      </c>
      <c r="F5997" t="s">
        <v>1737</v>
      </c>
      <c r="K5997" t="str">
        <f>IF(ISBLANK('Q 6'!E82),"",IF('Q 6'!E82="&lt;please select&gt;","",'Q 6'!E82))</f>
        <v>No emission report submitted by the 31st of March</v>
      </c>
    </row>
    <row r="5998" spans="1:11" x14ac:dyDescent="0.3">
      <c r="A5998" t="s">
        <v>1975</v>
      </c>
      <c r="B5998" t="s">
        <v>1976</v>
      </c>
      <c r="C5998">
        <v>6</v>
      </c>
      <c r="D5998" t="s">
        <v>1447</v>
      </c>
      <c r="E5998" t="s">
        <v>1978</v>
      </c>
      <c r="F5998" t="s">
        <v>1737</v>
      </c>
      <c r="K5998" t="str">
        <f>IF(ISBLANK('Q 6'!E83),"",IF('Q 6'!E83="&lt;please select&gt;","",'Q 6'!E83))</f>
        <v>No emission report submitted by the 31st of March</v>
      </c>
    </row>
    <row r="5999" spans="1:11" x14ac:dyDescent="0.3">
      <c r="A5999" t="s">
        <v>1975</v>
      </c>
      <c r="B5999" t="s">
        <v>1976</v>
      </c>
      <c r="C5999">
        <v>7</v>
      </c>
      <c r="D5999" t="s">
        <v>1447</v>
      </c>
      <c r="E5999" t="s">
        <v>1978</v>
      </c>
      <c r="F5999" t="s">
        <v>1737</v>
      </c>
      <c r="K5999" t="str">
        <f>IF(ISBLANK('Q 6'!E84),"",IF('Q 6'!E84="&lt;please select&gt;","",'Q 6'!E84))</f>
        <v>No emission report submitted by the 31st of March</v>
      </c>
    </row>
    <row r="6000" spans="1:11" x14ac:dyDescent="0.3">
      <c r="A6000" t="s">
        <v>1975</v>
      </c>
      <c r="B6000" t="s">
        <v>1976</v>
      </c>
      <c r="C6000">
        <v>8</v>
      </c>
      <c r="D6000" t="s">
        <v>1447</v>
      </c>
      <c r="E6000" t="s">
        <v>1978</v>
      </c>
      <c r="F6000" t="s">
        <v>1737</v>
      </c>
      <c r="K6000" t="str">
        <f>IF(ISBLANK('Q 6'!E85),"",IF('Q 6'!E85="&lt;please select&gt;","",'Q 6'!E85))</f>
        <v>No emission report submitted by the 31st of March</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0</v>
      </c>
    </row>
    <row r="6034" spans="1:9" x14ac:dyDescent="0.3">
      <c r="A6034" t="s">
        <v>1975</v>
      </c>
      <c r="B6034" t="s">
        <v>1976</v>
      </c>
      <c r="C6034">
        <v>2</v>
      </c>
      <c r="D6034" t="s">
        <v>1447</v>
      </c>
      <c r="E6034" t="s">
        <v>1979</v>
      </c>
      <c r="F6034" t="s">
        <v>1806</v>
      </c>
      <c r="I6034" s="166" t="str">
        <f>IF(ISBLANK('Q 6'!F79),"",IF('Q 6'!F79="&lt;please select&gt;","",'Q 6'!F79))</f>
        <v>0</v>
      </c>
    </row>
    <row r="6035" spans="1:9" x14ac:dyDescent="0.3">
      <c r="A6035" t="s">
        <v>1975</v>
      </c>
      <c r="B6035" t="s">
        <v>1976</v>
      </c>
      <c r="C6035">
        <v>3</v>
      </c>
      <c r="D6035" t="s">
        <v>1447</v>
      </c>
      <c r="E6035" t="s">
        <v>1979</v>
      </c>
      <c r="F6035" t="s">
        <v>1806</v>
      </c>
      <c r="I6035" s="166" t="str">
        <f>IF(ISBLANK('Q 6'!F80),"",IF('Q 6'!F80="&lt;please select&gt;","",'Q 6'!F80))</f>
        <v>0</v>
      </c>
    </row>
    <row r="6036" spans="1:9" x14ac:dyDescent="0.3">
      <c r="A6036" t="s">
        <v>1975</v>
      </c>
      <c r="B6036" t="s">
        <v>1976</v>
      </c>
      <c r="C6036">
        <v>4</v>
      </c>
      <c r="D6036" t="s">
        <v>1447</v>
      </c>
      <c r="E6036" t="s">
        <v>1979</v>
      </c>
      <c r="F6036" t="s">
        <v>1806</v>
      </c>
      <c r="I6036" s="166" t="str">
        <f>IF(ISBLANK('Q 6'!F81),"",IF('Q 6'!F81="&lt;please select&gt;","",'Q 6'!F81))</f>
        <v>0</v>
      </c>
    </row>
    <row r="6037" spans="1:9" x14ac:dyDescent="0.3">
      <c r="A6037" t="s">
        <v>1975</v>
      </c>
      <c r="B6037" t="s">
        <v>1976</v>
      </c>
      <c r="C6037">
        <v>5</v>
      </c>
      <c r="D6037" t="s">
        <v>1447</v>
      </c>
      <c r="E6037" t="s">
        <v>1979</v>
      </c>
      <c r="F6037" t="s">
        <v>1806</v>
      </c>
      <c r="I6037" s="166" t="str">
        <f>IF(ISBLANK('Q 6'!F82),"",IF('Q 6'!F82="&lt;please select&gt;","",'Q 6'!F82))</f>
        <v>0.9</v>
      </c>
    </row>
    <row r="6038" spans="1:9" x14ac:dyDescent="0.3">
      <c r="A6038" t="s">
        <v>1975</v>
      </c>
      <c r="B6038" t="s">
        <v>1976</v>
      </c>
      <c r="C6038">
        <v>6</v>
      </c>
      <c r="D6038" t="s">
        <v>1447</v>
      </c>
      <c r="E6038" t="s">
        <v>1979</v>
      </c>
      <c r="F6038" t="s">
        <v>1806</v>
      </c>
      <c r="I6038" s="166" t="str">
        <f>IF(ISBLANK('Q 6'!F83),"",IF('Q 6'!F83="&lt;please select&gt;","",'Q 6'!F83))</f>
        <v>0.1</v>
      </c>
    </row>
    <row r="6039" spans="1:9" x14ac:dyDescent="0.3">
      <c r="A6039" t="s">
        <v>1975</v>
      </c>
      <c r="B6039" t="s">
        <v>1976</v>
      </c>
      <c r="C6039">
        <v>7</v>
      </c>
      <c r="D6039" t="s">
        <v>1447</v>
      </c>
      <c r="E6039" t="s">
        <v>1979</v>
      </c>
      <c r="F6039" t="s">
        <v>1806</v>
      </c>
      <c r="I6039" s="166" t="str">
        <f>IF(ISBLANK('Q 6'!F84),"",IF('Q 6'!F84="&lt;please select&gt;","",'Q 6'!F84))</f>
        <v>0</v>
      </c>
    </row>
    <row r="6040" spans="1:9" x14ac:dyDescent="0.3">
      <c r="A6040" t="s">
        <v>1975</v>
      </c>
      <c r="B6040" t="s">
        <v>1976</v>
      </c>
      <c r="C6040">
        <v>8</v>
      </c>
      <c r="D6040" t="s">
        <v>1447</v>
      </c>
      <c r="E6040" t="s">
        <v>1979</v>
      </c>
      <c r="F6040" t="s">
        <v>1806</v>
      </c>
      <c r="I6040" s="166" t="str">
        <f>IF(ISBLANK('Q 6'!F85),"",IF('Q 6'!F85="&lt;please select&gt;","",'Q 6'!F85))</f>
        <v>0</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Presented data from the Regional Inspectorates of Environment and Water</v>
      </c>
    </row>
    <row r="6074" spans="1:9" x14ac:dyDescent="0.3">
      <c r="A6074" t="s">
        <v>1975</v>
      </c>
      <c r="B6074" t="s">
        <v>1976</v>
      </c>
      <c r="C6074">
        <v>2</v>
      </c>
      <c r="D6074" t="s">
        <v>1447</v>
      </c>
      <c r="E6074" t="s">
        <v>1980</v>
      </c>
      <c r="F6074" t="s">
        <v>1741</v>
      </c>
      <c r="G6074" t="str">
        <f>IF(ISBLANK('Q 6'!G79),"",IF('Q 6'!G79="&lt;please select&gt;","",'Q 6'!G79))</f>
        <v>Presented data from the Regional Inspectorates of Environment and Water</v>
      </c>
    </row>
    <row r="6075" spans="1:9" x14ac:dyDescent="0.3">
      <c r="A6075" t="s">
        <v>1975</v>
      </c>
      <c r="B6075" t="s">
        <v>1976</v>
      </c>
      <c r="C6075">
        <v>3</v>
      </c>
      <c r="D6075" t="s">
        <v>1447</v>
      </c>
      <c r="E6075" t="s">
        <v>1980</v>
      </c>
      <c r="F6075" t="s">
        <v>1741</v>
      </c>
      <c r="G6075" t="str">
        <f>IF(ISBLANK('Q 6'!G80),"",IF('Q 6'!G80="&lt;please select&gt;","",'Q 6'!G80))</f>
        <v>Presented data from the Regional Inspectorates of Environment and Water</v>
      </c>
    </row>
    <row r="6076" spans="1:9" x14ac:dyDescent="0.3">
      <c r="A6076" t="s">
        <v>1975</v>
      </c>
      <c r="B6076" t="s">
        <v>1976</v>
      </c>
      <c r="C6076">
        <v>4</v>
      </c>
      <c r="D6076" t="s">
        <v>1447</v>
      </c>
      <c r="E6076" t="s">
        <v>1980</v>
      </c>
      <c r="F6076" t="s">
        <v>1741</v>
      </c>
      <c r="G6076" t="str">
        <f>IF(ISBLANK('Q 6'!G81),"",IF('Q 6'!G81="&lt;please select&gt;","",'Q 6'!G81))</f>
        <v>Presented data from the Regional Inspectorates of Environment and Water</v>
      </c>
    </row>
    <row r="6077" spans="1:9" x14ac:dyDescent="0.3">
      <c r="A6077" t="s">
        <v>1975</v>
      </c>
      <c r="B6077" t="s">
        <v>1976</v>
      </c>
      <c r="C6077">
        <v>5</v>
      </c>
      <c r="D6077" t="s">
        <v>1447</v>
      </c>
      <c r="E6077" t="s">
        <v>1980</v>
      </c>
      <c r="F6077" t="s">
        <v>1741</v>
      </c>
      <c r="G6077" t="str">
        <f>IF(ISBLANK('Q 6'!G82),"",IF('Q 6'!G82="&lt;please select&gt;","",'Q 6'!G82))</f>
        <v>Presented data from the Regional Inspectorates of Environment and Water</v>
      </c>
    </row>
    <row r="6078" spans="1:9" x14ac:dyDescent="0.3">
      <c r="A6078" t="s">
        <v>1975</v>
      </c>
      <c r="B6078" t="s">
        <v>1976</v>
      </c>
      <c r="C6078">
        <v>6</v>
      </c>
      <c r="D6078" t="s">
        <v>1447</v>
      </c>
      <c r="E6078" t="s">
        <v>1980</v>
      </c>
      <c r="F6078" t="s">
        <v>1741</v>
      </c>
      <c r="G6078" t="str">
        <f>IF(ISBLANK('Q 6'!G83),"",IF('Q 6'!G83="&lt;please select&gt;","",'Q 6'!G83))</f>
        <v>Presented data from the Regional Inspectorates of Environment and Water</v>
      </c>
    </row>
    <row r="6079" spans="1:9" x14ac:dyDescent="0.3">
      <c r="A6079" t="s">
        <v>1975</v>
      </c>
      <c r="B6079" t="s">
        <v>1976</v>
      </c>
      <c r="C6079">
        <v>7</v>
      </c>
      <c r="D6079" t="s">
        <v>1447</v>
      </c>
      <c r="E6079" t="s">
        <v>1980</v>
      </c>
      <c r="F6079" t="s">
        <v>1741</v>
      </c>
      <c r="G6079" t="str">
        <f>IF(ISBLANK('Q 6'!G84),"",IF('Q 6'!G84="&lt;please select&gt;","",'Q 6'!G84))</f>
        <v>Presented data from the Regional Inspectorates of Environment and Water</v>
      </c>
    </row>
    <row r="6080" spans="1:9" x14ac:dyDescent="0.3">
      <c r="A6080" t="s">
        <v>1975</v>
      </c>
      <c r="B6080" t="s">
        <v>1976</v>
      </c>
      <c r="C6080">
        <v>8</v>
      </c>
      <c r="D6080" t="s">
        <v>1447</v>
      </c>
      <c r="E6080" t="s">
        <v>1980</v>
      </c>
      <c r="F6080" t="s">
        <v>1741</v>
      </c>
      <c r="G6080" t="str">
        <f>IF(ISBLANK('Q 6'!G85),"",IF('Q 6'!G85="&lt;please select&gt;","",'Q 6'!G85))</f>
        <v>Presented data from the Regional Inspectorates of Environment and Water</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Imposition of fines</v>
      </c>
    </row>
    <row r="6114" spans="1:11" x14ac:dyDescent="0.3">
      <c r="A6114" t="s">
        <v>1975</v>
      </c>
      <c r="B6114" t="s">
        <v>1976</v>
      </c>
      <c r="C6114">
        <v>2</v>
      </c>
      <c r="D6114" t="s">
        <v>1447</v>
      </c>
      <c r="E6114" t="s">
        <v>1981</v>
      </c>
      <c r="F6114" t="s">
        <v>1737</v>
      </c>
      <c r="K6114" t="str">
        <f>IF(ISBLANK('Q 6'!H79),"",IF('Q 6'!H79="&lt;please select&gt;","",'Q 6'!H79))</f>
        <v>Imposition of fines</v>
      </c>
    </row>
    <row r="6115" spans="1:11" x14ac:dyDescent="0.3">
      <c r="A6115" t="s">
        <v>1975</v>
      </c>
      <c r="B6115" t="s">
        <v>1976</v>
      </c>
      <c r="C6115">
        <v>3</v>
      </c>
      <c r="D6115" t="s">
        <v>1447</v>
      </c>
      <c r="E6115" t="s">
        <v>1981</v>
      </c>
      <c r="F6115" t="s">
        <v>1737</v>
      </c>
      <c r="K6115" t="str">
        <f>IF(ISBLANK('Q 6'!H80),"",IF('Q 6'!H80="&lt;please select&gt;","",'Q 6'!H80))</f>
        <v>Imposition of fines</v>
      </c>
    </row>
    <row r="6116" spans="1:11" x14ac:dyDescent="0.3">
      <c r="A6116" t="s">
        <v>1975</v>
      </c>
      <c r="B6116" t="s">
        <v>1976</v>
      </c>
      <c r="C6116">
        <v>4</v>
      </c>
      <c r="D6116" t="s">
        <v>1447</v>
      </c>
      <c r="E6116" t="s">
        <v>1981</v>
      </c>
      <c r="F6116" t="s">
        <v>1737</v>
      </c>
      <c r="K6116" t="str">
        <f>IF(ISBLANK('Q 6'!H81),"",IF('Q 6'!H81="&lt;please select&gt;","",'Q 6'!H81))</f>
        <v>Imposition of fines</v>
      </c>
    </row>
    <row r="6117" spans="1:11" x14ac:dyDescent="0.3">
      <c r="A6117" t="s">
        <v>1975</v>
      </c>
      <c r="B6117" t="s">
        <v>1976</v>
      </c>
      <c r="C6117">
        <v>5</v>
      </c>
      <c r="D6117" t="s">
        <v>1447</v>
      </c>
      <c r="E6117" t="s">
        <v>1981</v>
      </c>
      <c r="F6117" t="s">
        <v>1737</v>
      </c>
      <c r="K6117" t="str">
        <f>IF(ISBLANK('Q 6'!H82),"",IF('Q 6'!H82="&lt;please select&gt;","",'Q 6'!H82))</f>
        <v>Combination of the above</v>
      </c>
    </row>
    <row r="6118" spans="1:11" x14ac:dyDescent="0.3">
      <c r="A6118" t="s">
        <v>1975</v>
      </c>
      <c r="B6118" t="s">
        <v>1976</v>
      </c>
      <c r="C6118">
        <v>6</v>
      </c>
      <c r="D6118" t="s">
        <v>1447</v>
      </c>
      <c r="E6118" t="s">
        <v>1981</v>
      </c>
      <c r="F6118" t="s">
        <v>1737</v>
      </c>
      <c r="K6118" t="str">
        <f>IF(ISBLANK('Q 6'!H83),"",IF('Q 6'!H83="&lt;please select&gt;","",'Q 6'!H83))</f>
        <v>Combination of the above</v>
      </c>
    </row>
    <row r="6119" spans="1:11" x14ac:dyDescent="0.3">
      <c r="A6119" t="s">
        <v>1975</v>
      </c>
      <c r="B6119" t="s">
        <v>1976</v>
      </c>
      <c r="C6119">
        <v>7</v>
      </c>
      <c r="D6119" t="s">
        <v>1447</v>
      </c>
      <c r="E6119" t="s">
        <v>1981</v>
      </c>
      <c r="F6119" t="s">
        <v>1737</v>
      </c>
      <c r="K6119" t="str">
        <f>IF(ISBLANK('Q 6'!H84),"",IF('Q 6'!H84="&lt;please select&gt;","",'Q 6'!H84))</f>
        <v>Imposition of fines</v>
      </c>
    </row>
    <row r="6120" spans="1:11" x14ac:dyDescent="0.3">
      <c r="A6120" t="s">
        <v>1975</v>
      </c>
      <c r="B6120" t="s">
        <v>1976</v>
      </c>
      <c r="C6120">
        <v>8</v>
      </c>
      <c r="D6120" t="s">
        <v>1447</v>
      </c>
      <c r="E6120" t="s">
        <v>1981</v>
      </c>
      <c r="F6120" t="s">
        <v>1737</v>
      </c>
      <c r="K6120" t="str">
        <f>IF(ISBLANK('Q 6'!H85),"",IF('Q 6'!H85="&lt;please select&gt;","",'Q 6'!H85))</f>
        <v>Combination of the above</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8</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31 - Manufacture of glass as specified in Annex I of Directive 2003/87/EC</v>
      </c>
    </row>
    <row r="6200" spans="1:11" x14ac:dyDescent="0.3">
      <c r="A6200" t="s">
        <v>1985</v>
      </c>
      <c r="B6200" t="s">
        <v>1987</v>
      </c>
      <c r="C6200">
        <v>3</v>
      </c>
      <c r="D6200" t="s">
        <v>1447</v>
      </c>
      <c r="E6200" t="s">
        <v>1988</v>
      </c>
      <c r="F6200" t="s">
        <v>1737</v>
      </c>
      <c r="K6200" t="str">
        <f>IF(ISBLANK('Q 6'!C135),"",IF('Q 6'!C135="&lt;please select&gt;","",'Q 6'!C135))</f>
        <v>44 - Production of soda ash (Na2CO3) and sodium bicarbonate (NaHCO3) as specified in Annex I of Directive 2003/87/EC</v>
      </c>
    </row>
    <row r="6201" spans="1:11" x14ac:dyDescent="0.3">
      <c r="A6201" t="s">
        <v>1985</v>
      </c>
      <c r="B6201" t="s">
        <v>1987</v>
      </c>
      <c r="C6201">
        <v>4</v>
      </c>
      <c r="D6201" t="s">
        <v>1447</v>
      </c>
      <c r="E6201" t="s">
        <v>1988</v>
      </c>
      <c r="F6201" t="s">
        <v>1737</v>
      </c>
      <c r="K6201" t="str">
        <f>IF(ISBLANK('Q 6'!C136),"",IF('Q 6'!C136="&lt;please select&gt;","",'Q 6'!C136))</f>
        <v xml:space="preserve">36 - Production of paper or cardboard as specified in Annex I of Directive 2003/87/EC </v>
      </c>
    </row>
    <row r="6202" spans="1:11" x14ac:dyDescent="0.3">
      <c r="A6202" t="s">
        <v>1985</v>
      </c>
      <c r="B6202" t="s">
        <v>1987</v>
      </c>
      <c r="C6202">
        <v>5</v>
      </c>
      <c r="D6202" t="s">
        <v>1447</v>
      </c>
      <c r="E6202" t="s">
        <v>1988</v>
      </c>
      <c r="F6202" t="s">
        <v>1737</v>
      </c>
      <c r="K6202" t="str">
        <f>IF(ISBLANK('Q 6'!C137),"",IF('Q 6'!C137="&lt;please select&gt;","",'Q 6'!C137))</f>
        <v>32 - Manufacture of ceramic products as specified in Annex I of Directive 2003/87/EC</v>
      </c>
    </row>
    <row r="6203" spans="1:11" x14ac:dyDescent="0.3">
      <c r="A6203" t="s">
        <v>1985</v>
      </c>
      <c r="B6203" t="s">
        <v>1987</v>
      </c>
      <c r="C6203">
        <v>6</v>
      </c>
      <c r="D6203" t="s">
        <v>1447</v>
      </c>
      <c r="E6203" t="s">
        <v>1988</v>
      </c>
      <c r="F6203" t="s">
        <v>1737</v>
      </c>
      <c r="K6203" t="str">
        <f>IF(ISBLANK('Q 6'!C138),"",IF('Q 6'!C138="&lt;please select&gt;","",'Q 6'!C138))</f>
        <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Non-conformities not leading to a negative verification opinion statement</v>
      </c>
    </row>
    <row r="6289" spans="1:11" x14ac:dyDescent="0.3">
      <c r="A6289" t="s">
        <v>1985</v>
      </c>
      <c r="B6289" t="s">
        <v>1987</v>
      </c>
      <c r="C6289">
        <v>2</v>
      </c>
      <c r="D6289" t="s">
        <v>1447</v>
      </c>
      <c r="E6289" t="s">
        <v>1989</v>
      </c>
      <c r="F6289" t="s">
        <v>1737</v>
      </c>
      <c r="K6289" t="str">
        <f>IF(ISBLANK('Q 6'!E134),"",IF('Q 6'!E134="&lt;please select&gt;","",'Q 6'!E134))</f>
        <v>Non-conformities not leading to a negative verification opinion statement</v>
      </c>
    </row>
    <row r="6290" spans="1:11" x14ac:dyDescent="0.3">
      <c r="A6290" t="s">
        <v>1985</v>
      </c>
      <c r="B6290" t="s">
        <v>1987</v>
      </c>
      <c r="C6290">
        <v>3</v>
      </c>
      <c r="D6290" t="s">
        <v>1447</v>
      </c>
      <c r="E6290" t="s">
        <v>1989</v>
      </c>
      <c r="F6290" t="s">
        <v>1737</v>
      </c>
      <c r="K6290" t="str">
        <f>IF(ISBLANK('Q 6'!E135),"",IF('Q 6'!E135="&lt;please select&gt;","",'Q 6'!E135))</f>
        <v>Non-material misstatements</v>
      </c>
    </row>
    <row r="6291" spans="1:11" x14ac:dyDescent="0.3">
      <c r="A6291" t="s">
        <v>1985</v>
      </c>
      <c r="B6291" t="s">
        <v>1987</v>
      </c>
      <c r="C6291">
        <v>4</v>
      </c>
      <c r="D6291" t="s">
        <v>1447</v>
      </c>
      <c r="E6291" t="s">
        <v>1989</v>
      </c>
      <c r="F6291" t="s">
        <v>1737</v>
      </c>
      <c r="K6291" t="str">
        <f>IF(ISBLANK('Q 6'!E136),"",IF('Q 6'!E136="&lt;please select&gt;","",'Q 6'!E136))</f>
        <v>Non-conformities not leading to a negative verification opinion statement</v>
      </c>
    </row>
    <row r="6292" spans="1:11" x14ac:dyDescent="0.3">
      <c r="A6292" t="s">
        <v>1985</v>
      </c>
      <c r="B6292" t="s">
        <v>1987</v>
      </c>
      <c r="C6292">
        <v>5</v>
      </c>
      <c r="D6292" t="s">
        <v>1447</v>
      </c>
      <c r="E6292" t="s">
        <v>1989</v>
      </c>
      <c r="F6292" t="s">
        <v>1737</v>
      </c>
      <c r="K6292" t="str">
        <f>IF(ISBLANK('Q 6'!E137),"",IF('Q 6'!E137="&lt;please select&gt;","",'Q 6'!E137))</f>
        <v>Non-conformities not leading to a negative verification opinion statement</v>
      </c>
    </row>
    <row r="6293" spans="1:11" x14ac:dyDescent="0.3">
      <c r="A6293" t="s">
        <v>1985</v>
      </c>
      <c r="B6293" t="s">
        <v>1987</v>
      </c>
      <c r="C6293">
        <v>6</v>
      </c>
      <c r="D6293" t="s">
        <v>1447</v>
      </c>
      <c r="E6293" t="s">
        <v>1989</v>
      </c>
      <c r="F6293" t="s">
        <v>1737</v>
      </c>
      <c r="K6293" t="str">
        <f>IF(ISBLANK('Q 6'!E138),"",IF('Q 6'!E138="&lt;please select&gt;","",'Q 6'!E138))</f>
        <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3</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1</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1</v>
      </c>
    </row>
    <row r="6383" spans="1:11" x14ac:dyDescent="0.3">
      <c r="A6383" t="s">
        <v>1985</v>
      </c>
      <c r="B6383" t="s">
        <v>1987</v>
      </c>
      <c r="C6383">
        <v>6</v>
      </c>
      <c r="D6383" t="s">
        <v>1447</v>
      </c>
      <c r="E6383" t="s">
        <v>1798</v>
      </c>
      <c r="F6383" t="s">
        <v>1748</v>
      </c>
      <c r="H6383" s="165" t="str">
        <f>IF(ISBLANK('Q 6'!G138),"",IF('Q 6'!G138="&lt;please select&gt;","",'Q 6'!G138))</f>
        <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2</v>
      </c>
    </row>
    <row r="6469" spans="1:8" x14ac:dyDescent="0.3">
      <c r="A6469" t="s">
        <v>1985</v>
      </c>
      <c r="B6469" t="s">
        <v>1987</v>
      </c>
      <c r="C6469">
        <v>2</v>
      </c>
      <c r="D6469" t="s">
        <v>1447</v>
      </c>
      <c r="E6469" t="s">
        <v>1972</v>
      </c>
      <c r="F6469" t="s">
        <v>1748</v>
      </c>
      <c r="H6469" s="165" t="str">
        <f>IF(ISBLANK('Q 6'!H134),"",IF('Q 6'!H134="&lt;please select&gt;","",'Q 6'!H134))</f>
        <v>1</v>
      </c>
    </row>
    <row r="6470" spans="1:8" x14ac:dyDescent="0.3">
      <c r="A6470" t="s">
        <v>1985</v>
      </c>
      <c r="B6470" t="s">
        <v>1987</v>
      </c>
      <c r="C6470">
        <v>3</v>
      </c>
      <c r="D6470" t="s">
        <v>1447</v>
      </c>
      <c r="E6470" t="s">
        <v>1972</v>
      </c>
      <c r="F6470" t="s">
        <v>1748</v>
      </c>
      <c r="H6470" s="165" t="str">
        <f>IF(ISBLANK('Q 6'!H135),"",IF('Q 6'!H135="&lt;please select&gt;","",'Q 6'!H135))</f>
        <v>1</v>
      </c>
    </row>
    <row r="6471" spans="1:8" x14ac:dyDescent="0.3">
      <c r="A6471" t="s">
        <v>1985</v>
      </c>
      <c r="B6471" t="s">
        <v>1987</v>
      </c>
      <c r="C6471">
        <v>4</v>
      </c>
      <c r="D6471" t="s">
        <v>1447</v>
      </c>
      <c r="E6471" t="s">
        <v>1972</v>
      </c>
      <c r="F6471" t="s">
        <v>1748</v>
      </c>
      <c r="H6471" s="165" t="str">
        <f>IF(ISBLANK('Q 6'!H136),"",IF('Q 6'!H136="&lt;please select&gt;","",'Q 6'!H136))</f>
        <v>1</v>
      </c>
    </row>
    <row r="6472" spans="1:8" x14ac:dyDescent="0.3">
      <c r="A6472" t="s">
        <v>1985</v>
      </c>
      <c r="B6472" t="s">
        <v>1987</v>
      </c>
      <c r="C6472">
        <v>5</v>
      </c>
      <c r="D6472" t="s">
        <v>1447</v>
      </c>
      <c r="E6472" t="s">
        <v>1972</v>
      </c>
      <c r="F6472" t="s">
        <v>1748</v>
      </c>
      <c r="H6472" s="165" t="str">
        <f>IF(ISBLANK('Q 6'!H137),"",IF('Q 6'!H137="&lt;please select&gt;","",'Q 6'!H137))</f>
        <v>1</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0.08</v>
      </c>
    </row>
    <row r="6654" spans="1:11" x14ac:dyDescent="0.3">
      <c r="A6654" t="s">
        <v>1991</v>
      </c>
      <c r="B6654" t="s">
        <v>1993</v>
      </c>
      <c r="C6654">
        <v>4</v>
      </c>
      <c r="D6654" t="s">
        <v>1447</v>
      </c>
      <c r="E6654" t="s">
        <v>1995</v>
      </c>
      <c r="F6654" t="s">
        <v>1791</v>
      </c>
      <c r="J6654" t="str">
        <f>IF(ISBLANK('Q 6'!$H$232),"",IF('Q 6'!$H$232="&lt;please select&gt;","",'Q 6'!$H$232))</f>
        <v>Data for activity level reported to the MOEW; information about the operation of the instalation-provided from RIEW.</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Random selection</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0</v>
      </c>
    </row>
    <row r="6661" spans="1:11" x14ac:dyDescent="0.3">
      <c r="A6661" t="s">
        <v>1991</v>
      </c>
      <c r="B6661" t="s">
        <v>1999</v>
      </c>
      <c r="C6661">
        <v>2</v>
      </c>
      <c r="D6661" t="s">
        <v>1419</v>
      </c>
      <c r="E6661" t="s">
        <v>2000</v>
      </c>
      <c r="F6661" t="s">
        <v>1791</v>
      </c>
      <c r="J6661" t="str">
        <f>IF(ISBLANK('Q 6'!G237),"",IF('Q 6'!G237="&lt;please select&gt;","",'Q 6'!G237))</f>
        <v>The annual exchange of information from the competent authority to the National Accreditation Bodies, according to Art. 73 of Regulation (EU) № 2018/2067</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All large aircraft operators</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_</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_</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_</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0</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_</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1</v>
      </c>
    </row>
    <row r="7084" spans="1:8" x14ac:dyDescent="0.3">
      <c r="A7084" t="s">
        <v>2048</v>
      </c>
      <c r="B7084" t="s">
        <v>2050</v>
      </c>
      <c r="C7084">
        <v>1</v>
      </c>
      <c r="D7084" t="s">
        <v>1447</v>
      </c>
      <c r="E7084" t="s">
        <v>2016</v>
      </c>
      <c r="F7084" t="s">
        <v>1741</v>
      </c>
      <c r="G7084" t="str">
        <f>IF(ISBLANK('Q 7'!C27),"",IF('Q 7'!C27="&lt;please select&gt;","",'Q 7'!C27))</f>
        <v>215300</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Cargo Air OOD</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Yes</v>
      </c>
    </row>
    <row r="7195" spans="1:11" x14ac:dyDescent="0.3">
      <c r="A7195" t="s">
        <v>2064</v>
      </c>
      <c r="B7195" t="s">
        <v>2072</v>
      </c>
      <c r="C7195">
        <v>1</v>
      </c>
      <c r="D7195" t="s">
        <v>1447</v>
      </c>
      <c r="E7195" t="s">
        <v>2067</v>
      </c>
      <c r="F7195" t="s">
        <v>1748</v>
      </c>
      <c r="H7195" s="165" t="str">
        <f>IF(ISBLANK('Q 8'!$C$50),"",IF('Q 8'!$C$50="&lt;please select&gt;","",'Q 8'!$C$50))</f>
        <v>1</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1</v>
      </c>
    </row>
    <row r="7198" spans="1:11" x14ac:dyDescent="0.3">
      <c r="A7198" t="s">
        <v>2073</v>
      </c>
      <c r="B7198" t="s">
        <v>2074</v>
      </c>
      <c r="C7198">
        <v>2</v>
      </c>
      <c r="D7198" t="s">
        <v>1447</v>
      </c>
      <c r="E7198" t="s">
        <v>1798</v>
      </c>
      <c r="F7198" t="s">
        <v>1748</v>
      </c>
      <c r="H7198" s="165" t="str">
        <f>IF(ISBLANK('Q 8'!$G55),"",IF('Q 8'!$G55="&lt;please select&gt;","",'Q 8'!$G55))</f>
        <v>0</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0</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0</v>
      </c>
    </row>
    <row r="7214" spans="1:11" x14ac:dyDescent="0.3">
      <c r="A7214" t="s">
        <v>2080</v>
      </c>
      <c r="B7214" t="s">
        <v>2081</v>
      </c>
      <c r="C7214">
        <v>2</v>
      </c>
      <c r="D7214" t="s">
        <v>1447</v>
      </c>
      <c r="E7214" t="s">
        <v>1798</v>
      </c>
      <c r="F7214" t="s">
        <v>1748</v>
      </c>
      <c r="H7214" s="165" t="str">
        <f>IF(ISBLANK('Q 8'!$H76),"",IF('Q 8'!$H76="&lt;please select&gt;","",'Q 8'!$H76))</f>
        <v>0</v>
      </c>
    </row>
    <row r="7215" spans="1:11" x14ac:dyDescent="0.3">
      <c r="A7215" t="s">
        <v>2080</v>
      </c>
      <c r="B7215" t="s">
        <v>2081</v>
      </c>
      <c r="C7215">
        <v>3</v>
      </c>
      <c r="D7215" t="s">
        <v>1447</v>
      </c>
      <c r="E7215" t="s">
        <v>1798</v>
      </c>
      <c r="F7215" t="s">
        <v>1748</v>
      </c>
      <c r="H7215" s="165" t="str">
        <f>IF(ISBLANK('Q 8'!$H77),"",IF('Q 8'!$H77="&lt;please select&gt;","",'Q 8'!$H77))</f>
        <v>0</v>
      </c>
    </row>
    <row r="7216" spans="1:11" x14ac:dyDescent="0.3">
      <c r="A7216" t="s">
        <v>2082</v>
      </c>
      <c r="B7216" t="s">
        <v>2083</v>
      </c>
      <c r="C7216">
        <v>0</v>
      </c>
      <c r="D7216" t="s">
        <v>1447</v>
      </c>
      <c r="E7216" t="s">
        <v>2083</v>
      </c>
      <c r="F7216" t="s">
        <v>1759</v>
      </c>
      <c r="K7216" t="str">
        <f>IF(ISBLANK('Q 8'!$I$80),"",IF('Q 8'!$I$80="&lt;please select&gt;","",'Q 8'!$I$80))</f>
        <v>No</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2</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
      </c>
    </row>
    <row r="7480" spans="1:11" x14ac:dyDescent="0.3">
      <c r="A7480" t="s">
        <v>2096</v>
      </c>
      <c r="B7480" t="s">
        <v>2097</v>
      </c>
      <c r="C7480">
        <v>1</v>
      </c>
      <c r="D7480" t="s">
        <v>1447</v>
      </c>
      <c r="E7480" t="s">
        <v>1988</v>
      </c>
      <c r="F7480" t="s">
        <v>1737</v>
      </c>
      <c r="K7480" t="str">
        <f>IF(ISBLANK('Q 8'!$C157),"",IF('Q 8'!$C157="&lt;please select&gt;","",'Q 8'!$C157))</f>
        <v/>
      </c>
    </row>
    <row r="7481" spans="1:11" x14ac:dyDescent="0.3">
      <c r="A7481" t="s">
        <v>2096</v>
      </c>
      <c r="B7481" t="s">
        <v>2097</v>
      </c>
      <c r="C7481">
        <v>2</v>
      </c>
      <c r="D7481" t="s">
        <v>1447</v>
      </c>
      <c r="E7481" t="s">
        <v>1988</v>
      </c>
      <c r="F7481" t="s">
        <v>1737</v>
      </c>
      <c r="K7481" t="str">
        <f>IF(ISBLANK('Q 8'!$C158),"",IF('Q 8'!$C158="&lt;please select&gt;","",'Q 8'!$C158))</f>
        <v/>
      </c>
    </row>
    <row r="7482" spans="1:11" x14ac:dyDescent="0.3">
      <c r="A7482" t="s">
        <v>2096</v>
      </c>
      <c r="B7482" t="s">
        <v>2097</v>
      </c>
      <c r="C7482">
        <v>3</v>
      </c>
      <c r="D7482" t="s">
        <v>1447</v>
      </c>
      <c r="E7482" t="s">
        <v>1988</v>
      </c>
      <c r="F7482" t="s">
        <v>1737</v>
      </c>
      <c r="K7482" t="str">
        <f>IF(ISBLANK('Q 8'!$C159),"",IF('Q 8'!$C159="&lt;please select&gt;","",'Q 8'!$C159))</f>
        <v/>
      </c>
    </row>
    <row r="7483" spans="1:11" x14ac:dyDescent="0.3">
      <c r="A7483" t="s">
        <v>2096</v>
      </c>
      <c r="B7483" t="s">
        <v>2097</v>
      </c>
      <c r="C7483">
        <v>4</v>
      </c>
      <c r="D7483" t="s">
        <v>1447</v>
      </c>
      <c r="E7483" t="s">
        <v>1988</v>
      </c>
      <c r="F7483" t="s">
        <v>1737</v>
      </c>
      <c r="K7483" t="str">
        <f>IF(ISBLANK('Q 8'!$C160),"",IF('Q 8'!$C160="&lt;please select&gt;","",'Q 8'!$C160))</f>
        <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
      </c>
    </row>
    <row r="7561" spans="1:11" x14ac:dyDescent="0.3">
      <c r="A7561" t="s">
        <v>2096</v>
      </c>
      <c r="B7561" t="s">
        <v>2097</v>
      </c>
      <c r="C7561">
        <v>2</v>
      </c>
      <c r="D7561" t="s">
        <v>1447</v>
      </c>
      <c r="E7561" t="s">
        <v>1989</v>
      </c>
      <c r="F7561" t="s">
        <v>1737</v>
      </c>
      <c r="K7561" t="str">
        <f>IF(ISBLANK('Q 8'!$E158),"",IF('Q 8'!$E158="&lt;please select&gt;","",'Q 8'!$E158))</f>
        <v/>
      </c>
    </row>
    <row r="7562" spans="1:11" x14ac:dyDescent="0.3">
      <c r="A7562" t="s">
        <v>2096</v>
      </c>
      <c r="B7562" t="s">
        <v>2097</v>
      </c>
      <c r="C7562">
        <v>3</v>
      </c>
      <c r="D7562" t="s">
        <v>1447</v>
      </c>
      <c r="E7562" t="s">
        <v>1989</v>
      </c>
      <c r="F7562" t="s">
        <v>1737</v>
      </c>
      <c r="K7562" t="str">
        <f>IF(ISBLANK('Q 8'!$E159),"",IF('Q 8'!$E159="&lt;please select&gt;","",'Q 8'!$E159))</f>
        <v/>
      </c>
    </row>
    <row r="7563" spans="1:11" x14ac:dyDescent="0.3">
      <c r="A7563" t="s">
        <v>2096</v>
      </c>
      <c r="B7563" t="s">
        <v>2097</v>
      </c>
      <c r="C7563">
        <v>4</v>
      </c>
      <c r="D7563" t="s">
        <v>1447</v>
      </c>
      <c r="E7563" t="s">
        <v>1989</v>
      </c>
      <c r="F7563" t="s">
        <v>1737</v>
      </c>
      <c r="K7563" t="str">
        <f>IF(ISBLANK('Q 8'!$E160),"",IF('Q 8'!$E160="&lt;please select&gt;","",'Q 8'!$E160))</f>
        <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
      </c>
    </row>
    <row r="7641" spans="1:11" x14ac:dyDescent="0.3">
      <c r="A7641" t="s">
        <v>2096</v>
      </c>
      <c r="B7641" t="s">
        <v>2097</v>
      </c>
      <c r="C7641">
        <v>2</v>
      </c>
      <c r="D7641" t="s">
        <v>1447</v>
      </c>
      <c r="E7641" t="s">
        <v>1798</v>
      </c>
      <c r="F7641" t="s">
        <v>1748</v>
      </c>
      <c r="H7641" s="165" t="str">
        <f>IF(ISBLANK('Q 8'!$F158),"",IF('Q 8'!$F158="&lt;please select&gt;","",'Q 8'!$F158))</f>
        <v/>
      </c>
    </row>
    <row r="7642" spans="1:11" x14ac:dyDescent="0.3">
      <c r="A7642" t="s">
        <v>2096</v>
      </c>
      <c r="B7642" t="s">
        <v>2097</v>
      </c>
      <c r="C7642">
        <v>3</v>
      </c>
      <c r="D7642" t="s">
        <v>1447</v>
      </c>
      <c r="E7642" t="s">
        <v>1798</v>
      </c>
      <c r="F7642" t="s">
        <v>1748</v>
      </c>
      <c r="H7642" s="165" t="str">
        <f>IF(ISBLANK('Q 8'!$F159),"",IF('Q 8'!$F159="&lt;please select&gt;","",'Q 8'!$F159))</f>
        <v/>
      </c>
    </row>
    <row r="7643" spans="1:11" x14ac:dyDescent="0.3">
      <c r="A7643" t="s">
        <v>2096</v>
      </c>
      <c r="B7643" t="s">
        <v>2097</v>
      </c>
      <c r="C7643">
        <v>4</v>
      </c>
      <c r="D7643" t="s">
        <v>1447</v>
      </c>
      <c r="E7643" t="s">
        <v>1798</v>
      </c>
      <c r="F7643" t="s">
        <v>1748</v>
      </c>
      <c r="H7643" s="165" t="str">
        <f>IF(ISBLANK('Q 8'!$F160),"",IF('Q 8'!$F160="&lt;please select&gt;","",'Q 8'!$F160))</f>
        <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
      </c>
    </row>
    <row r="7721" spans="1:8" x14ac:dyDescent="0.3">
      <c r="A7721" t="s">
        <v>2096</v>
      </c>
      <c r="B7721" t="s">
        <v>2097</v>
      </c>
      <c r="C7721">
        <v>2</v>
      </c>
      <c r="D7721" t="s">
        <v>1447</v>
      </c>
      <c r="E7721" t="s">
        <v>1972</v>
      </c>
      <c r="F7721" t="s">
        <v>1748</v>
      </c>
      <c r="H7721" s="165" t="str">
        <f>IF(ISBLANK('Q 8'!$G158),"",IF('Q 8'!$G158="&lt;please select&gt;","",'Q 8'!$G158))</f>
        <v/>
      </c>
    </row>
    <row r="7722" spans="1:8" x14ac:dyDescent="0.3">
      <c r="A7722" t="s">
        <v>2096</v>
      </c>
      <c r="B7722" t="s">
        <v>2097</v>
      </c>
      <c r="C7722">
        <v>3</v>
      </c>
      <c r="D7722" t="s">
        <v>1447</v>
      </c>
      <c r="E7722" t="s">
        <v>1972</v>
      </c>
      <c r="F7722" t="s">
        <v>1748</v>
      </c>
      <c r="H7722" s="165" t="str">
        <f>IF(ISBLANK('Q 8'!$G159),"",IF('Q 8'!$G159="&lt;please select&gt;","",'Q 8'!$G159))</f>
        <v/>
      </c>
    </row>
    <row r="7723" spans="1:8" x14ac:dyDescent="0.3">
      <c r="A7723" t="s">
        <v>2096</v>
      </c>
      <c r="B7723" t="s">
        <v>2097</v>
      </c>
      <c r="C7723">
        <v>4</v>
      </c>
      <c r="D7723" t="s">
        <v>1447</v>
      </c>
      <c r="E7723" t="s">
        <v>1972</v>
      </c>
      <c r="F7723" t="s">
        <v>1748</v>
      </c>
      <c r="H7723" s="165" t="str">
        <f>IF(ISBLANK('Q 8'!$G160),"",IF('Q 8'!$G160="&lt;please select&gt;","",'Q 8'!$G160))</f>
        <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
      </c>
    </row>
    <row r="7801" spans="1:8" x14ac:dyDescent="0.3">
      <c r="A7801" t="s">
        <v>2096</v>
      </c>
      <c r="B7801" t="s">
        <v>2097</v>
      </c>
      <c r="C7801">
        <v>2</v>
      </c>
      <c r="D7801" t="s">
        <v>1447</v>
      </c>
      <c r="E7801" t="s">
        <v>2094</v>
      </c>
      <c r="F7801" t="s">
        <v>1748</v>
      </c>
      <c r="H7801" s="165" t="str">
        <f>IF(ISBLANK('Q 8'!$H158),"",IF('Q 8'!$H158="&lt;please select&gt;","",'Q 8'!$H158))</f>
        <v/>
      </c>
    </row>
    <row r="7802" spans="1:8" x14ac:dyDescent="0.3">
      <c r="A7802" t="s">
        <v>2096</v>
      </c>
      <c r="B7802" t="s">
        <v>2097</v>
      </c>
      <c r="C7802">
        <v>3</v>
      </c>
      <c r="D7802" t="s">
        <v>1447</v>
      </c>
      <c r="E7802" t="s">
        <v>2094</v>
      </c>
      <c r="F7802" t="s">
        <v>1748</v>
      </c>
      <c r="H7802" s="165" t="str">
        <f>IF(ISBLANK('Q 8'!$H159),"",IF('Q 8'!$H159="&lt;please select&gt;","",'Q 8'!$H159))</f>
        <v/>
      </c>
    </row>
    <row r="7803" spans="1:8" x14ac:dyDescent="0.3">
      <c r="A7803" t="s">
        <v>2096</v>
      </c>
      <c r="B7803" t="s">
        <v>2097</v>
      </c>
      <c r="C7803">
        <v>4</v>
      </c>
      <c r="D7803" t="s">
        <v>1447</v>
      </c>
      <c r="E7803" t="s">
        <v>2094</v>
      </c>
      <c r="F7803" t="s">
        <v>1748</v>
      </c>
      <c r="H7803" s="165" t="str">
        <f>IF(ISBLANK('Q 8'!$H160),"",IF('Q 8'!$H160="&lt;please select&gt;","",'Q 8'!$H160))</f>
        <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Yes</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3</v>
      </c>
    </row>
    <row r="7883" spans="1:11" x14ac:dyDescent="0.3">
      <c r="A7883" t="s">
        <v>2098</v>
      </c>
      <c r="B7883" t="s">
        <v>2100</v>
      </c>
      <c r="C7883">
        <v>2</v>
      </c>
      <c r="D7883" t="s">
        <v>1447</v>
      </c>
      <c r="E7883" t="s">
        <v>2102</v>
      </c>
      <c r="F7883" t="s">
        <v>1791</v>
      </c>
      <c r="J7883" s="165" t="str">
        <f>IF(ISBLANK('Q 8'!$H$244),"",IF('Q 8'!$H$244="&lt;please select&gt;","",'Q 8'!$H$244))</f>
        <v>It was found that some parameters were incorrectly reported.</v>
      </c>
    </row>
    <row r="7884" spans="1:11" x14ac:dyDescent="0.3">
      <c r="A7884" t="s">
        <v>2098</v>
      </c>
      <c r="B7884" t="s">
        <v>2100</v>
      </c>
      <c r="C7884">
        <v>3</v>
      </c>
      <c r="D7884" t="s">
        <v>1447</v>
      </c>
      <c r="E7884" t="s">
        <v>2000</v>
      </c>
      <c r="F7884" t="s">
        <v>1741</v>
      </c>
      <c r="G7884" t="str">
        <f>IF(ISBLANK('Q 8'!$F$245),"",IF('Q 8'!$F$245="&lt;please select&gt;","",'Q 8'!$F$245))</f>
        <v>The operators were requested to correct the data and to resubmit the reports.</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500</v>
      </c>
    </row>
    <row r="7942" spans="1:9" x14ac:dyDescent="0.3">
      <c r="A7942" t="s">
        <v>2109</v>
      </c>
      <c r="B7942" t="s">
        <v>2110</v>
      </c>
      <c r="C7942">
        <v>2</v>
      </c>
      <c r="D7942" t="s">
        <v>1447</v>
      </c>
      <c r="E7942" t="s">
        <v>2111</v>
      </c>
      <c r="F7942" t="s">
        <v>1806</v>
      </c>
      <c r="I7942" s="165" t="str">
        <f>IF(ISBLANK('Q 8'!E284),"",IF('Q 8'!E284="&lt;please select&gt;","",'Q 8'!E284))</f>
        <v>500</v>
      </c>
    </row>
    <row r="7943" spans="1:9" x14ac:dyDescent="0.3">
      <c r="A7943" t="s">
        <v>2109</v>
      </c>
      <c r="B7943" t="s">
        <v>2110</v>
      </c>
      <c r="C7943">
        <v>3</v>
      </c>
      <c r="D7943" t="s">
        <v>1447</v>
      </c>
      <c r="E7943" t="s">
        <v>2111</v>
      </c>
      <c r="F7943" t="s">
        <v>1806</v>
      </c>
      <c r="I7943" s="165" t="str">
        <f>IF(ISBLANK('Q 8'!E285),"",IF('Q 8'!E285="&lt;please select&gt;","",'Q 8'!E285))</f>
        <v>0</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5000</v>
      </c>
    </row>
    <row r="7950" spans="1:9" x14ac:dyDescent="0.3">
      <c r="A7950" t="s">
        <v>2109</v>
      </c>
      <c r="B7950" t="s">
        <v>2110</v>
      </c>
      <c r="C7950">
        <v>2</v>
      </c>
      <c r="D7950" t="s">
        <v>1447</v>
      </c>
      <c r="E7950" t="s">
        <v>2112</v>
      </c>
      <c r="F7950" t="s">
        <v>1806</v>
      </c>
      <c r="I7950" s="165" t="str">
        <f>IF(ISBLANK('Q 8'!$F284),"",IF('Q 8'!$F284="&lt;please select&gt;","",'Q 8'!$F284))</f>
        <v>5000</v>
      </c>
    </row>
    <row r="7951" spans="1:9" x14ac:dyDescent="0.3">
      <c r="A7951" t="s">
        <v>2109</v>
      </c>
      <c r="B7951" t="s">
        <v>2110</v>
      </c>
      <c r="C7951">
        <v>3</v>
      </c>
      <c r="D7951" t="s">
        <v>1447</v>
      </c>
      <c r="E7951" t="s">
        <v>2112</v>
      </c>
      <c r="F7951" t="s">
        <v>1806</v>
      </c>
      <c r="I7951" s="165" t="str">
        <f>IF(ISBLANK('Q 8'!$F285),"",IF('Q 8'!$F285="&lt;please select&gt;","",'Q 8'!$F285))</f>
        <v>0</v>
      </c>
    </row>
    <row r="7952" spans="1:9" x14ac:dyDescent="0.3">
      <c r="A7952" t="s">
        <v>2109</v>
      </c>
      <c r="B7952" t="s">
        <v>2110</v>
      </c>
      <c r="C7952">
        <v>4</v>
      </c>
      <c r="D7952" t="s">
        <v>1447</v>
      </c>
      <c r="E7952" t="s">
        <v>2112</v>
      </c>
      <c r="F7952" t="s">
        <v>1806</v>
      </c>
      <c r="I7952" s="165" t="str">
        <f>IF(ISBLANK('Q 8'!$F286),"",IF('Q 8'!$F286="&lt;please select&gt;","",'Q 8'!$F286))</f>
        <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250</v>
      </c>
    </row>
    <row r="8171" spans="1:11" x14ac:dyDescent="0.3">
      <c r="A8171" t="s">
        <v>2130</v>
      </c>
      <c r="B8171" t="s">
        <v>2132</v>
      </c>
      <c r="C8171">
        <v>2</v>
      </c>
      <c r="D8171" t="s">
        <v>1447</v>
      </c>
      <c r="E8171" t="s">
        <v>2133</v>
      </c>
      <c r="F8171" t="s">
        <v>1806</v>
      </c>
      <c r="I8171" s="165" t="str">
        <f>IF(ISBLANK('Q 9'!$G10),"",IF('Q 9'!$G10="&lt;please select&gt;","",'Q 9'!$G10))</f>
        <v>100</v>
      </c>
    </row>
    <row r="8172" spans="1:11" x14ac:dyDescent="0.3">
      <c r="A8172" t="s">
        <v>2130</v>
      </c>
      <c r="B8172" t="s">
        <v>2132</v>
      </c>
      <c r="C8172">
        <v>3</v>
      </c>
      <c r="D8172" t="s">
        <v>1447</v>
      </c>
      <c r="E8172" t="s">
        <v>2133</v>
      </c>
      <c r="F8172" t="s">
        <v>1806</v>
      </c>
      <c r="I8172" s="165" t="str">
        <f>IF(ISBLANK('Q 9'!$G11),"",IF('Q 9'!$G11="&lt;please select&gt;","",'Q 9'!$G11))</f>
        <v>0</v>
      </c>
    </row>
    <row r="8173" spans="1:11" x14ac:dyDescent="0.3">
      <c r="A8173" t="s">
        <v>2130</v>
      </c>
      <c r="B8173" t="s">
        <v>2132</v>
      </c>
      <c r="C8173">
        <v>4</v>
      </c>
      <c r="D8173" t="s">
        <v>1447</v>
      </c>
      <c r="E8173" t="s">
        <v>2133</v>
      </c>
      <c r="F8173" t="s">
        <v>1806</v>
      </c>
      <c r="I8173" s="165" t="str">
        <f>IF(ISBLANK('Q 9'!$G12),"",IF('Q 9'!$G12="&lt;please select&gt;","",'Q 9'!$G12))</f>
        <v>0</v>
      </c>
    </row>
    <row r="8174" spans="1:11" x14ac:dyDescent="0.3">
      <c r="A8174" t="s">
        <v>2130</v>
      </c>
      <c r="B8174" t="s">
        <v>2132</v>
      </c>
      <c r="C8174">
        <v>5</v>
      </c>
      <c r="D8174" t="s">
        <v>1447</v>
      </c>
      <c r="E8174" t="s">
        <v>2133</v>
      </c>
      <c r="F8174" t="s">
        <v>1806</v>
      </c>
      <c r="I8174" s="165" t="str">
        <f>IF(ISBLANK('Q 9'!$G13),"",IF('Q 9'!$G13="&lt;please select&gt;","",'Q 9'!$G13))</f>
        <v>500</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0</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500</v>
      </c>
    </row>
    <row r="8194" spans="1:10" x14ac:dyDescent="0.3">
      <c r="A8194" t="s">
        <v>2136</v>
      </c>
      <c r="B8194" t="s">
        <v>2138</v>
      </c>
      <c r="C8194">
        <v>2</v>
      </c>
      <c r="D8194" t="s">
        <v>1447</v>
      </c>
      <c r="E8194" t="s">
        <v>2133</v>
      </c>
      <c r="F8194" t="s">
        <v>1806</v>
      </c>
      <c r="I8194" s="165" t="str">
        <f>IF(ISBLANK('Q 9'!G35),"",IF('Q 9'!G35="&lt;please select&gt;","",'Q 9'!G35))</f>
        <v>50</v>
      </c>
    </row>
    <row r="8195" spans="1:10" x14ac:dyDescent="0.3">
      <c r="A8195" t="s">
        <v>2136</v>
      </c>
      <c r="B8195" t="s">
        <v>2138</v>
      </c>
      <c r="C8195">
        <v>3</v>
      </c>
      <c r="D8195" t="s">
        <v>1447</v>
      </c>
      <c r="E8195" t="s">
        <v>2133</v>
      </c>
      <c r="F8195" t="s">
        <v>1806</v>
      </c>
      <c r="I8195" s="165" t="str">
        <f>IF(ISBLANK('Q 9'!G36),"",IF('Q 9'!G36="&lt;please select&gt;","",'Q 9'!G36))</f>
        <v>500</v>
      </c>
    </row>
    <row r="8196" spans="1:10" x14ac:dyDescent="0.3">
      <c r="A8196" t="s">
        <v>2136</v>
      </c>
      <c r="B8196" t="s">
        <v>2138</v>
      </c>
      <c r="C8196">
        <v>4</v>
      </c>
      <c r="D8196" t="s">
        <v>1447</v>
      </c>
      <c r="E8196" t="s">
        <v>2133</v>
      </c>
      <c r="F8196" t="s">
        <v>1806</v>
      </c>
      <c r="I8196" s="165" t="str">
        <f>IF(ISBLANK('Q 9'!G37),"",IF('Q 9'!G37="&lt;please select&gt;","",'Q 9'!G37))</f>
        <v>50</v>
      </c>
    </row>
    <row r="8197" spans="1:10" x14ac:dyDescent="0.3">
      <c r="A8197" t="s">
        <v>2136</v>
      </c>
      <c r="B8197" t="s">
        <v>2138</v>
      </c>
      <c r="C8197">
        <v>5</v>
      </c>
      <c r="D8197" t="s">
        <v>1447</v>
      </c>
      <c r="E8197" t="s">
        <v>2133</v>
      </c>
      <c r="F8197" t="s">
        <v>1806</v>
      </c>
      <c r="I8197" s="165" t="str">
        <f>IF(ISBLANK('Q 9'!G38),"",IF('Q 9'!G38="&lt;please select&gt;","",'Q 9'!G38))</f>
        <v>0</v>
      </c>
    </row>
    <row r="8198" spans="1:10" x14ac:dyDescent="0.3">
      <c r="A8198" t="s">
        <v>2136</v>
      </c>
      <c r="B8198" t="s">
        <v>2138</v>
      </c>
      <c r="C8198">
        <v>6</v>
      </c>
      <c r="D8198" t="s">
        <v>1447</v>
      </c>
      <c r="E8198" t="s">
        <v>2133</v>
      </c>
      <c r="F8198" t="s">
        <v>1806</v>
      </c>
      <c r="I8198" s="165" t="str">
        <f>IF(ISBLANK('Q 9'!G39),"",IF('Q 9'!G39="&lt;please select&gt;","",'Q 9'!G39))</f>
        <v>0</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0</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Fee for opening of operator and aircraft operator accounts</v>
      </c>
    </row>
    <row r="8217" spans="1:10" x14ac:dyDescent="0.3">
      <c r="A8217" t="s">
        <v>2136</v>
      </c>
      <c r="B8217" t="s">
        <v>2140</v>
      </c>
      <c r="C8217">
        <v>2</v>
      </c>
      <c r="D8217" t="s">
        <v>1447</v>
      </c>
      <c r="E8217" t="s">
        <v>2141</v>
      </c>
      <c r="F8217" t="s">
        <v>1741</v>
      </c>
      <c r="G8217" t="str">
        <f>IF(ISBLANK('Q 9'!$C61),"",IF('Q 9'!$C61="&lt;please select&gt;","",'Q 9'!$C61))</f>
        <v>Fee for opening of trading accounts</v>
      </c>
    </row>
    <row r="8218" spans="1:10" x14ac:dyDescent="0.3">
      <c r="A8218" t="s">
        <v>2136</v>
      </c>
      <c r="B8218" t="s">
        <v>2140</v>
      </c>
      <c r="C8218">
        <v>3</v>
      </c>
      <c r="D8218" t="s">
        <v>1447</v>
      </c>
      <c r="E8218" t="s">
        <v>2141</v>
      </c>
      <c r="F8218" t="s">
        <v>1741</v>
      </c>
      <c r="G8218" t="str">
        <f>IF(ISBLANK('Q 9'!$C62),"",IF('Q 9'!$C62="&lt;please select&gt;","",'Q 9'!$C62))</f>
        <v>Fee for opening of verifier accounts</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100</v>
      </c>
    </row>
    <row r="8227" spans="1:9" x14ac:dyDescent="0.3">
      <c r="A8227" t="s">
        <v>2136</v>
      </c>
      <c r="B8227" t="s">
        <v>2140</v>
      </c>
      <c r="C8227">
        <v>2</v>
      </c>
      <c r="D8227" t="s">
        <v>1447</v>
      </c>
      <c r="E8227" t="s">
        <v>2142</v>
      </c>
      <c r="F8227" t="s">
        <v>1806</v>
      </c>
      <c r="I8227" s="165" t="str">
        <f>IF(ISBLANK('Q 9'!$G61),"",IF('Q 9'!$G61="&lt;please select&gt;","",'Q 9'!$G61))</f>
        <v>175</v>
      </c>
    </row>
    <row r="8228" spans="1:9" x14ac:dyDescent="0.3">
      <c r="A8228" t="s">
        <v>2136</v>
      </c>
      <c r="B8228" t="s">
        <v>2140</v>
      </c>
      <c r="C8228">
        <v>3</v>
      </c>
      <c r="D8228" t="s">
        <v>1447</v>
      </c>
      <c r="E8228" t="s">
        <v>2142</v>
      </c>
      <c r="F8228" t="s">
        <v>1806</v>
      </c>
      <c r="I8228" s="165" t="str">
        <f>IF(ISBLANK('Q 9'!$G62),"",IF('Q 9'!$G62="&lt;please select&gt;","",'Q 9'!$G62))</f>
        <v>50</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Fee Verify</v>
      </c>
    </row>
    <row r="8237" spans="1:9" x14ac:dyDescent="0.3">
      <c r="A8237" t="s">
        <v>2136</v>
      </c>
      <c r="B8237" t="s">
        <v>2143</v>
      </c>
      <c r="C8237">
        <v>2</v>
      </c>
      <c r="D8237" t="s">
        <v>1447</v>
      </c>
      <c r="E8237" t="s">
        <v>2144</v>
      </c>
      <c r="F8237" t="s">
        <v>1741</v>
      </c>
      <c r="G8237" t="str">
        <f>IF(ISBLANK('Q 9'!$C75),"",IF('Q 9'!$C75="&lt;please select&gt;","",'Q 9'!$C75))</f>
        <v>Fee Trade</v>
      </c>
    </row>
    <row r="8238" spans="1:9" x14ac:dyDescent="0.3">
      <c r="A8238" t="s">
        <v>2136</v>
      </c>
      <c r="B8238" t="s">
        <v>2143</v>
      </c>
      <c r="C8238">
        <v>3</v>
      </c>
      <c r="D8238" t="s">
        <v>1447</v>
      </c>
      <c r="E8238" t="s">
        <v>2144</v>
      </c>
      <c r="F8238" t="s">
        <v>1741</v>
      </c>
      <c r="G8238" t="str">
        <f>IF(ISBLANK('Q 9'!$C76),"",IF('Q 9'!$C76="&lt;please select&gt;","",'Q 9'!$C76))</f>
        <v>Fee for operator and aircraft operators</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50</v>
      </c>
    </row>
    <row r="8247" spans="1:11" x14ac:dyDescent="0.3">
      <c r="A8247" t="s">
        <v>2136</v>
      </c>
      <c r="B8247" t="s">
        <v>2143</v>
      </c>
      <c r="C8247">
        <v>2</v>
      </c>
      <c r="D8247" t="s">
        <v>1447</v>
      </c>
      <c r="E8247" t="s">
        <v>2145</v>
      </c>
      <c r="F8247" t="s">
        <v>1806</v>
      </c>
      <c r="I8247" s="165" t="str">
        <f>IF(ISBLANK('Q 9'!$G75),"",IF('Q 9'!$G75="&lt;please select&gt;","",'Q 9'!$G75))</f>
        <v>175</v>
      </c>
    </row>
    <row r="8248" spans="1:11" x14ac:dyDescent="0.3">
      <c r="A8248" t="s">
        <v>2136</v>
      </c>
      <c r="B8248" t="s">
        <v>2143</v>
      </c>
      <c r="C8248">
        <v>3</v>
      </c>
      <c r="D8248" t="s">
        <v>1447</v>
      </c>
      <c r="E8248" t="s">
        <v>2145</v>
      </c>
      <c r="F8248" t="s">
        <v>1806</v>
      </c>
      <c r="I8248" s="165" t="str">
        <f>IF(ISBLANK('Q 9'!$G76),"",IF('Q 9'!$G76="&lt;please select&gt;","",'Q 9'!$G76))</f>
        <v>100</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Yes</v>
      </c>
    </row>
    <row r="8257" spans="1:11" x14ac:dyDescent="0.3">
      <c r="A8257" t="s">
        <v>2146</v>
      </c>
      <c r="B8257" t="s">
        <v>2147</v>
      </c>
      <c r="C8257">
        <v>2</v>
      </c>
      <c r="D8257" t="s">
        <v>1447</v>
      </c>
      <c r="E8257" t="s">
        <v>2148</v>
      </c>
      <c r="F8257" t="s">
        <v>1759</v>
      </c>
      <c r="K8257" t="str">
        <f>IF(ISBLANK('Q 10'!$H8),"",IF('Q 10'!$H8="&lt;please select&gt;","",'Q 10'!$H8))</f>
        <v>Yes</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Yes</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2500</v>
      </c>
    </row>
    <row r="8277" spans="1:10" x14ac:dyDescent="0.3">
      <c r="A8277" t="s">
        <v>2151</v>
      </c>
      <c r="B8277" t="s">
        <v>2152</v>
      </c>
      <c r="C8277">
        <v>2</v>
      </c>
      <c r="D8277" t="s">
        <v>1447</v>
      </c>
      <c r="E8277" t="s">
        <v>2111</v>
      </c>
      <c r="F8277" t="s">
        <v>1806</v>
      </c>
      <c r="I8277" s="165" t="str">
        <f>IF(ISBLANK('Q 10'!$E22),"",IF('Q 10'!$E22="&lt;please select&gt;","",'Q 10'!$E22))</f>
        <v>500</v>
      </c>
    </row>
    <row r="8278" spans="1:10" x14ac:dyDescent="0.3">
      <c r="A8278" t="s">
        <v>2151</v>
      </c>
      <c r="B8278" t="s">
        <v>2152</v>
      </c>
      <c r="C8278">
        <v>3</v>
      </c>
      <c r="D8278" t="s">
        <v>1447</v>
      </c>
      <c r="E8278" t="s">
        <v>2111</v>
      </c>
      <c r="F8278" t="s">
        <v>1806</v>
      </c>
      <c r="I8278" s="165" t="str">
        <f>IF(ISBLANK('Q 10'!$E23),"",IF('Q 10'!$E23="&lt;please select&gt;","",'Q 10'!$E23))</f>
        <v>2500</v>
      </c>
    </row>
    <row r="8279" spans="1:10" x14ac:dyDescent="0.3">
      <c r="A8279" t="s">
        <v>2151</v>
      </c>
      <c r="B8279" t="s">
        <v>2152</v>
      </c>
      <c r="C8279">
        <v>4</v>
      </c>
      <c r="D8279" t="s">
        <v>1447</v>
      </c>
      <c r="E8279" t="s">
        <v>2111</v>
      </c>
      <c r="F8279" t="s">
        <v>1806</v>
      </c>
      <c r="I8279" s="165" t="str">
        <f>IF(ISBLANK('Q 10'!$E24),"",IF('Q 10'!$E24="&lt;please select&gt;","",'Q 10'!$E24))</f>
        <v>0</v>
      </c>
    </row>
    <row r="8280" spans="1:10" x14ac:dyDescent="0.3">
      <c r="A8280" t="s">
        <v>2151</v>
      </c>
      <c r="B8280" t="s">
        <v>2152</v>
      </c>
      <c r="C8280">
        <v>5</v>
      </c>
      <c r="D8280" t="s">
        <v>1447</v>
      </c>
      <c r="E8280" t="s">
        <v>2111</v>
      </c>
      <c r="F8280" t="s">
        <v>1806</v>
      </c>
      <c r="I8280" s="165" t="str">
        <f>IF(ISBLANK('Q 10'!$E25),"",IF('Q 10'!$E25="&lt;please select&gt;","",'Q 10'!$E25))</f>
        <v>0</v>
      </c>
    </row>
    <row r="8281" spans="1:10" x14ac:dyDescent="0.3">
      <c r="A8281" t="s">
        <v>2151</v>
      </c>
      <c r="B8281" t="s">
        <v>2152</v>
      </c>
      <c r="C8281">
        <v>6</v>
      </c>
      <c r="D8281" t="s">
        <v>1447</v>
      </c>
      <c r="E8281" t="s">
        <v>2111</v>
      </c>
      <c r="F8281" t="s">
        <v>1806</v>
      </c>
      <c r="I8281" s="165" t="str">
        <f>IF(ISBLANK('Q 10'!$E26),"",IF('Q 10'!$E26="&lt;please select&gt;","",'Q 10'!$E26))</f>
        <v>500</v>
      </c>
    </row>
    <row r="8282" spans="1:10" x14ac:dyDescent="0.3">
      <c r="A8282" t="s">
        <v>2151</v>
      </c>
      <c r="B8282" t="s">
        <v>2152</v>
      </c>
      <c r="C8282">
        <v>7</v>
      </c>
      <c r="D8282" t="s">
        <v>1447</v>
      </c>
      <c r="E8282" t="s">
        <v>2111</v>
      </c>
      <c r="F8282" t="s">
        <v>1806</v>
      </c>
      <c r="I8282" s="165" t="str">
        <f>IF(ISBLANK('Q 10'!$E27),"",IF('Q 10'!$E27="&lt;please select&gt;","",'Q 10'!$E27))</f>
        <v>500</v>
      </c>
    </row>
    <row r="8283" spans="1:10" x14ac:dyDescent="0.3">
      <c r="A8283" t="s">
        <v>2151</v>
      </c>
      <c r="B8283" t="s">
        <v>2152</v>
      </c>
      <c r="C8283">
        <v>8</v>
      </c>
      <c r="D8283" t="s">
        <v>1447</v>
      </c>
      <c r="E8283" t="s">
        <v>2111</v>
      </c>
      <c r="F8283" t="s">
        <v>1806</v>
      </c>
      <c r="I8283" s="165" t="str">
        <f>IF(ISBLANK('Q 10'!$E28),"",IF('Q 10'!$E28="&lt;please select&gt;","",'Q 10'!$E28))</f>
        <v>0</v>
      </c>
    </row>
    <row r="8284" spans="1:10" x14ac:dyDescent="0.3">
      <c r="A8284" t="s">
        <v>2151</v>
      </c>
      <c r="B8284" t="s">
        <v>2152</v>
      </c>
      <c r="C8284">
        <v>9</v>
      </c>
      <c r="D8284" t="s">
        <v>1447</v>
      </c>
      <c r="E8284" t="s">
        <v>2111</v>
      </c>
      <c r="F8284" t="s">
        <v>1806</v>
      </c>
      <c r="I8284" s="165" t="str">
        <f>IF(ISBLANK('Q 10'!$E29),"",IF('Q 10'!$E29="&lt;please select&gt;","",'Q 10'!$E29))</f>
        <v>0</v>
      </c>
    </row>
    <row r="8285" spans="1:10" x14ac:dyDescent="0.3">
      <c r="A8285" t="s">
        <v>2151</v>
      </c>
      <c r="B8285" t="s">
        <v>2152</v>
      </c>
      <c r="C8285">
        <v>10</v>
      </c>
      <c r="D8285" t="s">
        <v>1447</v>
      </c>
      <c r="E8285" t="s">
        <v>2111</v>
      </c>
      <c r="F8285" t="s">
        <v>1806</v>
      </c>
      <c r="I8285" s="165" t="str">
        <f>IF(ISBLANK('Q 10'!$E30),"",IF('Q 10'!$E30="&lt;please select&gt;","",'Q 10'!$E30))</f>
        <v>0</v>
      </c>
    </row>
    <row r="8286" spans="1:10" x14ac:dyDescent="0.3">
      <c r="A8286" t="s">
        <v>2151</v>
      </c>
      <c r="B8286" t="s">
        <v>2152</v>
      </c>
      <c r="C8286">
        <v>11</v>
      </c>
      <c r="D8286" t="s">
        <v>1447</v>
      </c>
      <c r="E8286" t="s">
        <v>2111</v>
      </c>
      <c r="F8286" t="s">
        <v>1806</v>
      </c>
      <c r="I8286" s="165" t="str">
        <f>IF(ISBLANK('Q 10'!$E31),"",IF('Q 10'!$E31="&lt;please select&gt;","",'Q 10'!$E31))</f>
        <v>0</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25000</v>
      </c>
    </row>
    <row r="8313" spans="1:9" x14ac:dyDescent="0.3">
      <c r="A8313" t="s">
        <v>2151</v>
      </c>
      <c r="B8313" t="s">
        <v>2152</v>
      </c>
      <c r="C8313">
        <v>2</v>
      </c>
      <c r="D8313" t="s">
        <v>1447</v>
      </c>
      <c r="E8313" t="s">
        <v>2112</v>
      </c>
      <c r="F8313" t="s">
        <v>1806</v>
      </c>
      <c r="I8313" s="165" t="str">
        <f>IF(ISBLANK('Q 10'!$F22),"",IF('Q 10'!$F22="&lt;please select&gt;","",'Q 10'!$F22))</f>
        <v>5000</v>
      </c>
    </row>
    <row r="8314" spans="1:9" x14ac:dyDescent="0.3">
      <c r="A8314" t="s">
        <v>2151</v>
      </c>
      <c r="B8314" t="s">
        <v>2152</v>
      </c>
      <c r="C8314">
        <v>3</v>
      </c>
      <c r="D8314" t="s">
        <v>1447</v>
      </c>
      <c r="E8314" t="s">
        <v>2112</v>
      </c>
      <c r="F8314" t="s">
        <v>1806</v>
      </c>
      <c r="I8314" s="165" t="str">
        <f>IF(ISBLANK('Q 10'!$F23),"",IF('Q 10'!$F23="&lt;please select&gt;","",'Q 10'!$F23))</f>
        <v>25000</v>
      </c>
    </row>
    <row r="8315" spans="1:9" x14ac:dyDescent="0.3">
      <c r="A8315" t="s">
        <v>2151</v>
      </c>
      <c r="B8315" t="s">
        <v>2152</v>
      </c>
      <c r="C8315">
        <v>4</v>
      </c>
      <c r="D8315" t="s">
        <v>1447</v>
      </c>
      <c r="E8315" t="s">
        <v>2112</v>
      </c>
      <c r="F8315" t="s">
        <v>1806</v>
      </c>
      <c r="I8315" s="165" t="str">
        <f>IF(ISBLANK('Q 10'!$F24),"",IF('Q 10'!$F24="&lt;please select&gt;","",'Q 10'!$F24))</f>
        <v>0</v>
      </c>
    </row>
    <row r="8316" spans="1:9" x14ac:dyDescent="0.3">
      <c r="A8316" t="s">
        <v>2151</v>
      </c>
      <c r="B8316" t="s">
        <v>2152</v>
      </c>
      <c r="C8316">
        <v>5</v>
      </c>
      <c r="D8316" t="s">
        <v>1447</v>
      </c>
      <c r="E8316" t="s">
        <v>2112</v>
      </c>
      <c r="F8316" t="s">
        <v>1806</v>
      </c>
      <c r="I8316" s="165" t="str">
        <f>IF(ISBLANK('Q 10'!$F25),"",IF('Q 10'!$F25="&lt;please select&gt;","",'Q 10'!$F25))</f>
        <v>0</v>
      </c>
    </row>
    <row r="8317" spans="1:9" x14ac:dyDescent="0.3">
      <c r="A8317" t="s">
        <v>2151</v>
      </c>
      <c r="B8317" t="s">
        <v>2152</v>
      </c>
      <c r="C8317">
        <v>6</v>
      </c>
      <c r="D8317" t="s">
        <v>1447</v>
      </c>
      <c r="E8317" t="s">
        <v>2112</v>
      </c>
      <c r="F8317" t="s">
        <v>1806</v>
      </c>
      <c r="I8317" s="165" t="str">
        <f>IF(ISBLANK('Q 10'!$F26),"",IF('Q 10'!$F26="&lt;please select&gt;","",'Q 10'!$F26))</f>
        <v>5000</v>
      </c>
    </row>
    <row r="8318" spans="1:9" x14ac:dyDescent="0.3">
      <c r="A8318" t="s">
        <v>2151</v>
      </c>
      <c r="B8318" t="s">
        <v>2152</v>
      </c>
      <c r="C8318">
        <v>7</v>
      </c>
      <c r="D8318" t="s">
        <v>1447</v>
      </c>
      <c r="E8318" t="s">
        <v>2112</v>
      </c>
      <c r="F8318" t="s">
        <v>1806</v>
      </c>
      <c r="I8318" s="165" t="str">
        <f>IF(ISBLANK('Q 10'!$F27),"",IF('Q 10'!$F27="&lt;please select&gt;","",'Q 10'!$F27))</f>
        <v>5000</v>
      </c>
    </row>
    <row r="8319" spans="1:9" x14ac:dyDescent="0.3">
      <c r="A8319" t="s">
        <v>2151</v>
      </c>
      <c r="B8319" t="s">
        <v>2152</v>
      </c>
      <c r="C8319">
        <v>8</v>
      </c>
      <c r="D8319" t="s">
        <v>1447</v>
      </c>
      <c r="E8319" t="s">
        <v>2112</v>
      </c>
      <c r="F8319" t="s">
        <v>1806</v>
      </c>
      <c r="I8319" s="165" t="str">
        <f>IF(ISBLANK('Q 10'!$F28),"",IF('Q 10'!$F28="&lt;please select&gt;","",'Q 10'!$F28))</f>
        <v>0</v>
      </c>
    </row>
    <row r="8320" spans="1:9" x14ac:dyDescent="0.3">
      <c r="A8320" t="s">
        <v>2151</v>
      </c>
      <c r="B8320" t="s">
        <v>2152</v>
      </c>
      <c r="C8320">
        <v>9</v>
      </c>
      <c r="D8320" t="s">
        <v>1447</v>
      </c>
      <c r="E8320" t="s">
        <v>2112</v>
      </c>
      <c r="F8320" t="s">
        <v>1806</v>
      </c>
      <c r="I8320" s="165" t="str">
        <f>IF(ISBLANK('Q 10'!$F29),"",IF('Q 10'!$F29="&lt;please select&gt;","",'Q 10'!$F29))</f>
        <v>0</v>
      </c>
    </row>
    <row r="8321" spans="1:9" x14ac:dyDescent="0.3">
      <c r="A8321" t="s">
        <v>2151</v>
      </c>
      <c r="B8321" t="s">
        <v>2152</v>
      </c>
      <c r="C8321">
        <v>10</v>
      </c>
      <c r="D8321" t="s">
        <v>1447</v>
      </c>
      <c r="E8321" t="s">
        <v>2112</v>
      </c>
      <c r="F8321" t="s">
        <v>1806</v>
      </c>
      <c r="I8321" s="165" t="str">
        <f>IF(ISBLANK('Q 10'!$F30),"",IF('Q 10'!$F30="&lt;please select&gt;","",'Q 10'!$F30))</f>
        <v>0</v>
      </c>
    </row>
    <row r="8322" spans="1:9" x14ac:dyDescent="0.3">
      <c r="A8322" t="s">
        <v>2151</v>
      </c>
      <c r="B8322" t="s">
        <v>2152</v>
      </c>
      <c r="C8322">
        <v>11</v>
      </c>
      <c r="D8322" t="s">
        <v>1447</v>
      </c>
      <c r="E8322" t="s">
        <v>2112</v>
      </c>
      <c r="F8322" t="s">
        <v>1806</v>
      </c>
      <c r="I8322" s="165" t="str">
        <f>IF(ISBLANK('Q 10'!$F31),"",IF('Q 10'!$F31="&lt;please select&gt;","",'Q 10'!$F31))</f>
        <v>0</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The monitoring plan is part of the GHG emissions permit and the infringement is the same as for exploitation without a permit</v>
      </c>
    </row>
    <row r="8423" spans="1:10" x14ac:dyDescent="0.3">
      <c r="A8423" t="s">
        <v>2151</v>
      </c>
      <c r="B8423" t="s">
        <v>2152</v>
      </c>
      <c r="C8423">
        <v>4</v>
      </c>
      <c r="D8423" t="s">
        <v>1447</v>
      </c>
      <c r="E8423" t="s">
        <v>2115</v>
      </c>
      <c r="F8423" t="s">
        <v>1791</v>
      </c>
      <c r="J8423" t="str">
        <f>IF(ISBLANK('Q 10'!$I24),"",IF('Q 10'!$I24="&lt;please select&gt;","",'Q 10'!$I24))</f>
        <v>This would be a reason for refusal to issue a permit</v>
      </c>
    </row>
    <row r="8424" spans="1:10" x14ac:dyDescent="0.3">
      <c r="A8424" t="s">
        <v>2151</v>
      </c>
      <c r="B8424" t="s">
        <v>2152</v>
      </c>
      <c r="C8424">
        <v>5</v>
      </c>
      <c r="D8424" t="s">
        <v>1447</v>
      </c>
      <c r="E8424" t="s">
        <v>2115</v>
      </c>
      <c r="F8424" t="s">
        <v>1791</v>
      </c>
      <c r="J8424" t="str">
        <f>IF(ISBLANK('Q 10'!$I25),"",IF('Q 10'!$I25="&lt;please select&gt;","",'Q 10'!$I25))</f>
        <v>This would be a reason for refusal to issue a permit</v>
      </c>
    </row>
    <row r="8425" spans="1:10" x14ac:dyDescent="0.3">
      <c r="A8425" t="s">
        <v>2151</v>
      </c>
      <c r="B8425" t="s">
        <v>2152</v>
      </c>
      <c r="C8425">
        <v>6</v>
      </c>
      <c r="D8425" t="s">
        <v>1447</v>
      </c>
      <c r="E8425" t="s">
        <v>2115</v>
      </c>
      <c r="F8425" t="s">
        <v>1791</v>
      </c>
      <c r="J8425" t="str">
        <f>IF(ISBLANK('Q 10'!$I26),"",IF('Q 10'!$I26="&lt;please select&gt;","",'Q 10'!$I26))</f>
        <v>Infringement for non-compliance with the permit conditions</v>
      </c>
    </row>
    <row r="8426" spans="1:10" x14ac:dyDescent="0.3">
      <c r="A8426" t="s">
        <v>2151</v>
      </c>
      <c r="B8426" t="s">
        <v>2152</v>
      </c>
      <c r="C8426">
        <v>7</v>
      </c>
      <c r="D8426" t="s">
        <v>1447</v>
      </c>
      <c r="E8426" t="s">
        <v>2115</v>
      </c>
      <c r="F8426" t="s">
        <v>1791</v>
      </c>
      <c r="J8426" t="str">
        <f>IF(ISBLANK('Q 10'!$I27),"",IF('Q 10'!$I27="&lt;please select&gt;","",'Q 10'!$I27))</f>
        <v>Infringement for non-compliance with the permit conditions</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Pursuant to the Climate Change Act the emissions should be reported by the ExEA with conservative estimate</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0</v>
      </c>
    </row>
    <row r="8711" spans="1:10" x14ac:dyDescent="0.3">
      <c r="A8711" t="s">
        <v>2162</v>
      </c>
      <c r="B8711" t="s">
        <v>2163</v>
      </c>
      <c r="C8711">
        <v>2</v>
      </c>
      <c r="D8711" t="s">
        <v>1447</v>
      </c>
      <c r="E8711" t="s">
        <v>2111</v>
      </c>
      <c r="F8711" t="s">
        <v>1806</v>
      </c>
      <c r="I8711" s="165" t="str">
        <f>IF(ISBLANK('Q 10'!$E148),"",IF('Q 10'!$E148="&lt;please select&gt;","",'Q 10'!$E148))</f>
        <v>500</v>
      </c>
    </row>
    <row r="8712" spans="1:10" x14ac:dyDescent="0.3">
      <c r="A8712" t="s">
        <v>2162</v>
      </c>
      <c r="B8712" t="s">
        <v>2163</v>
      </c>
      <c r="C8712">
        <v>3</v>
      </c>
      <c r="D8712" t="s">
        <v>1447</v>
      </c>
      <c r="E8712" t="s">
        <v>2111</v>
      </c>
      <c r="F8712" t="s">
        <v>1806</v>
      </c>
      <c r="I8712" s="165" t="str">
        <f>IF(ISBLANK('Q 10'!$E149),"",IF('Q 10'!$E149="&lt;please select&gt;","",'Q 10'!$E149))</f>
        <v>500</v>
      </c>
    </row>
    <row r="8713" spans="1:10" x14ac:dyDescent="0.3">
      <c r="A8713" t="s">
        <v>2162</v>
      </c>
      <c r="B8713" t="s">
        <v>2163</v>
      </c>
      <c r="C8713">
        <v>4</v>
      </c>
      <c r="D8713" t="s">
        <v>1447</v>
      </c>
      <c r="E8713" t="s">
        <v>2111</v>
      </c>
      <c r="F8713" t="s">
        <v>1806</v>
      </c>
      <c r="I8713" s="165" t="str">
        <f>IF(ISBLANK('Q 10'!$E150),"",IF('Q 10'!$E150="&lt;please select&gt;","",'Q 10'!$E150))</f>
        <v>500</v>
      </c>
    </row>
    <row r="8714" spans="1:10" x14ac:dyDescent="0.3">
      <c r="A8714" t="s">
        <v>2162</v>
      </c>
      <c r="B8714" t="s">
        <v>2163</v>
      </c>
      <c r="C8714">
        <v>5</v>
      </c>
      <c r="D8714" t="s">
        <v>1447</v>
      </c>
      <c r="E8714" t="s">
        <v>2111</v>
      </c>
      <c r="F8714" t="s">
        <v>1806</v>
      </c>
      <c r="I8714" s="165" t="str">
        <f>IF(ISBLANK('Q 10'!$E151),"",IF('Q 10'!$E151="&lt;please select&gt;","",'Q 10'!$E151))</f>
        <v>500</v>
      </c>
    </row>
    <row r="8715" spans="1:10" x14ac:dyDescent="0.3">
      <c r="A8715" t="s">
        <v>2162</v>
      </c>
      <c r="B8715" t="s">
        <v>2163</v>
      </c>
      <c r="C8715">
        <v>6</v>
      </c>
      <c r="D8715" t="s">
        <v>1447</v>
      </c>
      <c r="E8715" t="s">
        <v>2111</v>
      </c>
      <c r="F8715" t="s">
        <v>1806</v>
      </c>
      <c r="I8715" s="165" t="str">
        <f>IF(ISBLANK('Q 10'!$E152),"",IF('Q 10'!$E152="&lt;please select&gt;","",'Q 10'!$E152))</f>
        <v>0</v>
      </c>
    </row>
    <row r="8716" spans="1:10" x14ac:dyDescent="0.3">
      <c r="A8716" t="s">
        <v>2162</v>
      </c>
      <c r="B8716" t="s">
        <v>2163</v>
      </c>
      <c r="C8716">
        <v>7</v>
      </c>
      <c r="D8716" t="s">
        <v>1447</v>
      </c>
      <c r="E8716" t="s">
        <v>2111</v>
      </c>
      <c r="F8716" t="s">
        <v>1806</v>
      </c>
      <c r="I8716" s="165" t="str">
        <f>IF(ISBLANK('Q 10'!$E153),"",IF('Q 10'!$E153="&lt;please select&gt;","",'Q 10'!$E153))</f>
        <v>0</v>
      </c>
    </row>
    <row r="8717" spans="1:10" x14ac:dyDescent="0.3">
      <c r="A8717" t="s">
        <v>2162</v>
      </c>
      <c r="B8717" t="s">
        <v>2163</v>
      </c>
      <c r="C8717">
        <v>8</v>
      </c>
      <c r="D8717" t="s">
        <v>1447</v>
      </c>
      <c r="E8717" t="s">
        <v>2111</v>
      </c>
      <c r="F8717" t="s">
        <v>1806</v>
      </c>
      <c r="I8717" s="165" t="str">
        <f>IF(ISBLANK('Q 10'!$E154),"",IF('Q 10'!$E154="&lt;please select&gt;","",'Q 10'!$E154))</f>
        <v>0</v>
      </c>
    </row>
    <row r="8718" spans="1:10" x14ac:dyDescent="0.3">
      <c r="A8718" t="s">
        <v>2162</v>
      </c>
      <c r="B8718" t="s">
        <v>2163</v>
      </c>
      <c r="C8718">
        <v>9</v>
      </c>
      <c r="D8718" t="s">
        <v>1447</v>
      </c>
      <c r="E8718" t="s">
        <v>2111</v>
      </c>
      <c r="F8718" t="s">
        <v>1806</v>
      </c>
      <c r="I8718" s="165" t="str">
        <f>IF(ISBLANK('Q 10'!$E155),"",IF('Q 10'!$E155="&lt;please select&gt;","",'Q 10'!$E155))</f>
        <v>0</v>
      </c>
    </row>
    <row r="8719" spans="1:10" x14ac:dyDescent="0.3">
      <c r="A8719" t="s">
        <v>2162</v>
      </c>
      <c r="B8719" t="s">
        <v>2163</v>
      </c>
      <c r="C8719">
        <v>10</v>
      </c>
      <c r="D8719" t="s">
        <v>1447</v>
      </c>
      <c r="E8719" t="s">
        <v>2111</v>
      </c>
      <c r="F8719" t="s">
        <v>1806</v>
      </c>
      <c r="I8719" s="165" t="str">
        <f>IF(ISBLANK('Q 10'!$E156),"",IF('Q 10'!$E156="&lt;please select&gt;","",'Q 10'!$E156))</f>
        <v>0</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0</v>
      </c>
    </row>
    <row r="8726" spans="1:9" x14ac:dyDescent="0.3">
      <c r="A8726" t="s">
        <v>2162</v>
      </c>
      <c r="B8726" t="s">
        <v>2163</v>
      </c>
      <c r="C8726">
        <v>2</v>
      </c>
      <c r="D8726" t="s">
        <v>1447</v>
      </c>
      <c r="E8726" t="s">
        <v>2112</v>
      </c>
      <c r="F8726" t="s">
        <v>1806</v>
      </c>
      <c r="I8726" s="165" t="str">
        <f>IF(ISBLANK('Q 10'!$F148),"",IF('Q 10'!$F148="&lt;please select&gt;","",'Q 10'!$F148))</f>
        <v>5000</v>
      </c>
    </row>
    <row r="8727" spans="1:9" x14ac:dyDescent="0.3">
      <c r="A8727" t="s">
        <v>2162</v>
      </c>
      <c r="B8727" t="s">
        <v>2163</v>
      </c>
      <c r="C8727">
        <v>3</v>
      </c>
      <c r="D8727" t="s">
        <v>1447</v>
      </c>
      <c r="E8727" t="s">
        <v>2112</v>
      </c>
      <c r="F8727" t="s">
        <v>1806</v>
      </c>
      <c r="I8727" s="165" t="str">
        <f>IF(ISBLANK('Q 10'!$F149),"",IF('Q 10'!$F149="&lt;please select&gt;","",'Q 10'!$F149))</f>
        <v>5000</v>
      </c>
    </row>
    <row r="8728" spans="1:9" x14ac:dyDescent="0.3">
      <c r="A8728" t="s">
        <v>2162</v>
      </c>
      <c r="B8728" t="s">
        <v>2163</v>
      </c>
      <c r="C8728">
        <v>4</v>
      </c>
      <c r="D8728" t="s">
        <v>1447</v>
      </c>
      <c r="E8728" t="s">
        <v>2112</v>
      </c>
      <c r="F8728" t="s">
        <v>1806</v>
      </c>
      <c r="I8728" s="165" t="str">
        <f>IF(ISBLANK('Q 10'!$F150),"",IF('Q 10'!$F150="&lt;please select&gt;","",'Q 10'!$F150))</f>
        <v>5000</v>
      </c>
    </row>
    <row r="8729" spans="1:9" x14ac:dyDescent="0.3">
      <c r="A8729" t="s">
        <v>2162</v>
      </c>
      <c r="B8729" t="s">
        <v>2163</v>
      </c>
      <c r="C8729">
        <v>5</v>
      </c>
      <c r="D8729" t="s">
        <v>1447</v>
      </c>
      <c r="E8729" t="s">
        <v>2112</v>
      </c>
      <c r="F8729" t="s">
        <v>1806</v>
      </c>
      <c r="I8729" s="165" t="str">
        <f>IF(ISBLANK('Q 10'!$F151),"",IF('Q 10'!$F151="&lt;please select&gt;","",'Q 10'!$F151))</f>
        <v>5000</v>
      </c>
    </row>
    <row r="8730" spans="1:9" x14ac:dyDescent="0.3">
      <c r="A8730" t="s">
        <v>2162</v>
      </c>
      <c r="B8730" t="s">
        <v>2163</v>
      </c>
      <c r="C8730">
        <v>6</v>
      </c>
      <c r="D8730" t="s">
        <v>1447</v>
      </c>
      <c r="E8730" t="s">
        <v>2112</v>
      </c>
      <c r="F8730" t="s">
        <v>1806</v>
      </c>
      <c r="I8730" s="165" t="str">
        <f>IF(ISBLANK('Q 10'!$F152),"",IF('Q 10'!$F152="&lt;please select&gt;","",'Q 10'!$F152))</f>
        <v>0</v>
      </c>
    </row>
    <row r="8731" spans="1:9" x14ac:dyDescent="0.3">
      <c r="A8731" t="s">
        <v>2162</v>
      </c>
      <c r="B8731" t="s">
        <v>2163</v>
      </c>
      <c r="C8731">
        <v>7</v>
      </c>
      <c r="D8731" t="s">
        <v>1447</v>
      </c>
      <c r="E8731" t="s">
        <v>2112</v>
      </c>
      <c r="F8731" t="s">
        <v>1806</v>
      </c>
      <c r="I8731" s="165" t="str">
        <f>IF(ISBLANK('Q 10'!$F153),"",IF('Q 10'!$F153="&lt;please select&gt;","",'Q 10'!$F153))</f>
        <v>0</v>
      </c>
    </row>
    <row r="8732" spans="1:9" x14ac:dyDescent="0.3">
      <c r="A8732" t="s">
        <v>2162</v>
      </c>
      <c r="B8732" t="s">
        <v>2163</v>
      </c>
      <c r="C8732">
        <v>8</v>
      </c>
      <c r="D8732" t="s">
        <v>1447</v>
      </c>
      <c r="E8732" t="s">
        <v>2112</v>
      </c>
      <c r="F8732" t="s">
        <v>1806</v>
      </c>
      <c r="I8732" s="165" t="str">
        <f>IF(ISBLANK('Q 10'!$F154),"",IF('Q 10'!$F154="&lt;please select&gt;","",'Q 10'!$F154))</f>
        <v>0</v>
      </c>
    </row>
    <row r="8733" spans="1:9" x14ac:dyDescent="0.3">
      <c r="A8733" t="s">
        <v>2162</v>
      </c>
      <c r="B8733" t="s">
        <v>2163</v>
      </c>
      <c r="C8733">
        <v>9</v>
      </c>
      <c r="D8733" t="s">
        <v>1447</v>
      </c>
      <c r="E8733" t="s">
        <v>2112</v>
      </c>
      <c r="F8733" t="s">
        <v>1806</v>
      </c>
      <c r="I8733" s="165" t="str">
        <f>IF(ISBLANK('Q 10'!$F155),"",IF('Q 10'!$F155="&lt;please select&gt;","",'Q 10'!$F155))</f>
        <v>0</v>
      </c>
    </row>
    <row r="8734" spans="1:9" x14ac:dyDescent="0.3">
      <c r="A8734" t="s">
        <v>2162</v>
      </c>
      <c r="B8734" t="s">
        <v>2163</v>
      </c>
      <c r="C8734">
        <v>10</v>
      </c>
      <c r="D8734" t="s">
        <v>1447</v>
      </c>
      <c r="E8734" t="s">
        <v>2112</v>
      </c>
      <c r="F8734" t="s">
        <v>1806</v>
      </c>
      <c r="I8734" s="165" t="str">
        <f>IF(ISBLANK('Q 10'!$F156),"",IF('Q 10'!$F156="&lt;please select&gt;","",'Q 10'!$F156))</f>
        <v>0</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NA</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 xml:space="preserve">The Climate Change Act </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c>
    </row>
    <row r="8918" spans="1:11" x14ac:dyDescent="0.3">
      <c r="A8918" t="s">
        <v>2174</v>
      </c>
      <c r="B8918" t="s">
        <v>2175</v>
      </c>
      <c r="C8918">
        <v>0</v>
      </c>
      <c r="D8918" t="s">
        <v>1447</v>
      </c>
      <c r="E8918" t="s">
        <v>2175</v>
      </c>
      <c r="F8918" t="s">
        <v>1741</v>
      </c>
      <c r="G8918" t="str">
        <f>IF(ISBLANK('Q 11'!$C$6),"",IF('Q 11'!$C$6="&lt;please select&gt;","",'Q 11'!$C$6))</f>
        <v>The free allocated allowances are classified as Government grants and in this case the IAS 38 Intangible Assets is applied. For the traders of allowances the rules of IAS 2 (Inventories) have to be applied. In this case the allowances are considered as “assets classified as held for sale”</v>
      </c>
    </row>
    <row r="8919" spans="1:11" x14ac:dyDescent="0.3">
      <c r="A8919" t="s">
        <v>2176</v>
      </c>
      <c r="B8919" t="s">
        <v>2177</v>
      </c>
      <c r="C8919">
        <v>0</v>
      </c>
      <c r="D8919" t="s">
        <v>1447</v>
      </c>
      <c r="E8919" t="s">
        <v>2177</v>
      </c>
      <c r="F8919" t="s">
        <v>1741</v>
      </c>
      <c r="G8919" t="str">
        <f>IF(ISBLANK('Q 11'!$C$9),"",IF('Q 11'!$C$9="&lt;please select&gt;","",'Q 11'!$C$9))</f>
        <v>If the allowances are allocated for free, they are classified as non-depreciable assets for the purposes of accounting. For the traders – the allowances can’t be classified pursuant to the National Accounting Standards for Small and Medium-sized Enterprises. The rules of IAS 1 (p.3 b) and p. 25.2 b)) Presentation of Financial Statement have to be applied.</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No</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10</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In case of suspicion of fraudulent activity related to the free allocation of allowances the ExEA should without delay notify the Financial Investigation Directorate of the State Agency for National Security and to undertake the suitable measures to collect information regarding the person responsible for the fraudulent activity</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In case of suspicion of fraudulent activity related to the free allocation of allowances the ExEA should without delay notify the Financial Investigation Directorate of the State Agency for National Security and to delay, if possible according to the legislative requirements for the relevant activity, the transfer of allowances</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
      </c>
    </row>
    <row r="8941" spans="1:7" x14ac:dyDescent="0.3">
      <c r="A8941" t="s">
        <v>2189</v>
      </c>
      <c r="B8941" t="s">
        <v>2190</v>
      </c>
      <c r="C8941">
        <v>1</v>
      </c>
      <c r="D8941" t="s">
        <v>1447</v>
      </c>
      <c r="E8941" t="s">
        <v>2191</v>
      </c>
      <c r="F8941" t="s">
        <v>1741</v>
      </c>
      <c r="G8941" t="str">
        <f>IF(ISBLANK('Q 12'!$G17),"",IF('Q 12'!$G17="&lt;please select&gt;","",'Q 12'!$G17))</f>
        <v/>
      </c>
    </row>
    <row r="8942" spans="1:7" x14ac:dyDescent="0.3">
      <c r="A8942" t="s">
        <v>2189</v>
      </c>
      <c r="B8942" t="s">
        <v>2190</v>
      </c>
      <c r="C8942">
        <v>2</v>
      </c>
      <c r="D8942" t="s">
        <v>1447</v>
      </c>
      <c r="E8942" t="s">
        <v>2191</v>
      </c>
      <c r="F8942" t="s">
        <v>1741</v>
      </c>
      <c r="G8942" t="str">
        <f>IF(ISBLANK('Q 12'!$G18),"",IF('Q 12'!$G18="&lt;please select&gt;","",'Q 12'!$G18))</f>
        <v/>
      </c>
    </row>
    <row r="8943" spans="1:7" x14ac:dyDescent="0.3">
      <c r="A8943" t="s">
        <v>2189</v>
      </c>
      <c r="B8943" t="s">
        <v>2190</v>
      </c>
      <c r="C8943">
        <v>3</v>
      </c>
      <c r="D8943" t="s">
        <v>1447</v>
      </c>
      <c r="E8943" t="s">
        <v>2191</v>
      </c>
      <c r="F8943" t="s">
        <v>1741</v>
      </c>
      <c r="G8943" t="str">
        <f>IF(ISBLANK('Q 12'!$G19),"",IF('Q 12'!$G19="&lt;please select&gt;","",'Q 12'!$G19))</f>
        <v/>
      </c>
    </row>
    <row r="8944" spans="1:7" x14ac:dyDescent="0.3">
      <c r="A8944" t="s">
        <v>2189</v>
      </c>
      <c r="B8944" t="s">
        <v>2190</v>
      </c>
      <c r="C8944">
        <v>4</v>
      </c>
      <c r="D8944" t="s">
        <v>1447</v>
      </c>
      <c r="E8944" t="s">
        <v>2191</v>
      </c>
      <c r="F8944" t="s">
        <v>1741</v>
      </c>
      <c r="G8944" t="str">
        <f>IF(ISBLANK('Q 12'!$G20),"",IF('Q 12'!$G20="&lt;please select&gt;","",'Q 12'!$G20))</f>
        <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
      </c>
      <c r="F5" s="244"/>
      <c r="G5" s="244"/>
      <c r="H5" s="244"/>
      <c r="I5" s="245"/>
    </row>
    <row r="6" spans="1:9" s="69" customFormat="1" ht="14.4" x14ac:dyDescent="0.3">
      <c r="A6" s="68"/>
      <c r="C6" s="251" t="s">
        <v>654</v>
      </c>
      <c r="D6" s="250"/>
      <c r="E6" s="243" t="str">
        <f>_xlfn.CONCAT(_xlfn.XLOOKUP("[S01_InstitutionDetails][0][ContactPersonName]",Submission!$O:$O,Submission!$H:$N,""))</f>
        <v/>
      </c>
      <c r="F6" s="244"/>
      <c r="G6" s="244"/>
      <c r="H6" s="244"/>
      <c r="I6" s="245"/>
    </row>
    <row r="7" spans="1:9" s="69" customFormat="1" ht="14.4" x14ac:dyDescent="0.3">
      <c r="A7" s="68"/>
      <c r="C7" s="251" t="s">
        <v>655</v>
      </c>
      <c r="D7" s="250"/>
      <c r="E7" s="243" t="str">
        <f>_xlfn.CONCAT(_xlfn.XLOOKUP("[S01_InstitutionDetails][0][ContactPersonJobTitle]",Submission!$O:$O,Submission!$H:$N,""))</f>
        <v/>
      </c>
      <c r="F7" s="244"/>
      <c r="G7" s="244"/>
      <c r="H7" s="244"/>
      <c r="I7" s="245"/>
    </row>
    <row r="8" spans="1:9" s="69" customFormat="1" ht="14.4" x14ac:dyDescent="0.3">
      <c r="A8" s="68"/>
      <c r="C8" s="251" t="s">
        <v>656</v>
      </c>
      <c r="D8" s="250"/>
      <c r="E8" s="243" t="str">
        <f>_xlfn.CONCAT(_xlfn.XLOOKUP("[S01_InstitutionDetails][0][Address]",Submission!$O:$O,Submission!$H:$N,""))</f>
        <v/>
      </c>
      <c r="F8" s="244"/>
      <c r="G8" s="244"/>
      <c r="H8" s="244"/>
      <c r="I8" s="245"/>
    </row>
    <row r="9" spans="1:9" s="69" customFormat="1" ht="14.4" x14ac:dyDescent="0.3">
      <c r="A9" s="68"/>
      <c r="C9" s="251" t="s">
        <v>657</v>
      </c>
      <c r="D9" s="250"/>
      <c r="E9" s="246" t="str">
        <f>_xlfn.CONCAT(_xlfn.XLOOKUP("[S01_InstitutionDetails][0][InternationalTelephoneNumber]",Submission!$O:$O,Submission!$H:$N,""))</f>
        <v/>
      </c>
      <c r="F9" s="247"/>
      <c r="G9" s="247"/>
      <c r="H9" s="247"/>
      <c r="I9" s="248"/>
    </row>
    <row r="10" spans="1:9" s="69" customFormat="1" ht="14.4" x14ac:dyDescent="0.3">
      <c r="A10" s="68"/>
      <c r="C10" s="251" t="s">
        <v>658</v>
      </c>
      <c r="D10" s="250"/>
      <c r="E10" s="252" t="str">
        <f>_xlfn.CONCAT(_xlfn.XLOOKUP("[S01_InstitutionDetails][0][EMail]",Submission!$O:$O,Submission!$H:$N,""))</f>
        <v/>
      </c>
      <c r="F10" s="244"/>
      <c r="G10" s="244"/>
      <c r="H10" s="244"/>
      <c r="I10" s="245"/>
    </row>
    <row r="11" spans="1:9" s="79" customFormat="1" ht="14.4" x14ac:dyDescent="0.3">
      <c r="A11" s="78"/>
      <c r="C11" s="249" t="s">
        <v>2229</v>
      </c>
      <c r="D11" s="250"/>
      <c r="E11" s="243" t="str">
        <f>_xlfn.CONCAT(_xlfn.XLOOKUP("[S01_InstitutionDetails][0][ReportingYear]",Submission!$O:$O,Submission!$H:$N,""))</f>
        <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Ministry of Environment and Water</v>
      </c>
      <c r="D7" s="72" t="str">
        <f>_xlfn.CONCAT(_xlfn.XLOOKUP("[S02_CompetentAuthority][1][CAAbbreviation]",Submission!$O:$O,Submission!$H:$N,""))</f>
        <v>MOEW</v>
      </c>
      <c r="E7" s="72" t="str">
        <f>_xlfn.CONCAT(_xlfn.XLOOKUP("[S02_CompetentAuthority][1][CAType]",Submission!$O:$O,Submission!$H:$N,""))</f>
        <v>Central competent authority</v>
      </c>
      <c r="F7" s="105" t="str">
        <f>_xlfn.CONCAT(_xlfn.XLOOKUP("[S02_CompetentAuthority][1][CANumber]",Submission!$O:$O,Submission!$H:$N,""))</f>
        <v>+359 2 940 61 44</v>
      </c>
      <c r="G7" s="177" t="str">
        <f>_xlfn.CONCAT(_xlfn.XLOOKUP("[S02_CompetentAuthority][1][CATelephone]",Submission!$O:$O,Submission!$H:$N,""))</f>
        <v/>
      </c>
      <c r="H7" s="83" t="str">
        <f>_xlfn.CONCAT(_xlfn.XLOOKUP("[S02_CompetentAuthority][1][CAEmail]",Submission!$O:$O,Submission!$H:$N,""))</f>
        <v>dpetrova@moew.government.bg</v>
      </c>
      <c r="I7" s="72" t="str">
        <f>_xlfn.CONCAT(_xlfn.XLOOKUP("[S02_CompetentAuthority][1][CAWebsite]",Submission!$O:$O,Submission!$H:$N,""))</f>
        <v>http://www.moew.government.bg</v>
      </c>
      <c r="J7" s="79"/>
    </row>
    <row r="8" spans="1:11" s="58" customFormat="1" ht="15.9" customHeight="1" x14ac:dyDescent="0.3">
      <c r="B8" s="79"/>
      <c r="C8" s="71" t="str">
        <f>_xlfn.CONCAT(_xlfn.XLOOKUP("[S02_CompetentAuthority][2][CAName]",Submission!$O:$O,Submission!$H:$N,""))</f>
        <v>Executive Environment Agency</v>
      </c>
      <c r="D8" s="72" t="str">
        <f>_xlfn.CONCAT(_xlfn.XLOOKUP("[S02_CompetentAuthority][2][CAAbbreviation]",Submission!$O:$O,Submission!$H:$N,""))</f>
        <v>ExEA</v>
      </c>
      <c r="E8" s="72" t="str">
        <f>_xlfn.CONCAT(_xlfn.XLOOKUP("[S02_CompetentAuthority][2][CAType]",Submission!$O:$O,Submission!$H:$N,""))</f>
        <v>Central competent authority</v>
      </c>
      <c r="F8" s="105" t="str">
        <f>_xlfn.CONCAT(_xlfn.XLOOKUP("[S02_CompetentAuthority][2][CANumber]",Submission!$O:$O,Submission!$H:$N,""))</f>
        <v>+359 2 955 90 22</v>
      </c>
      <c r="G8" s="177" t="str">
        <f>_xlfn.CONCAT(_xlfn.XLOOKUP("[S02_CompetentAuthority][2][CATelephone]",Submission!$O:$O,Submission!$H:$N,""))</f>
        <v/>
      </c>
      <c r="H8" s="83" t="str">
        <f>_xlfn.CONCAT(_xlfn.XLOOKUP("[S02_CompetentAuthority][2][CAEmail]",Submission!$O:$O,Submission!$H:$N,""))</f>
        <v>iaos@eea.government.bg</v>
      </c>
      <c r="I8" s="72" t="str">
        <f>_xlfn.CONCAT(_xlfn.XLOOKUP("[S02_CompetentAuthority][2][CAWebsite]",Submission!$O:$O,Submission!$H:$N,""))</f>
        <v>http://eea.government.bg</v>
      </c>
      <c r="J8" s="79"/>
    </row>
    <row r="9" spans="1:11" s="58" customFormat="1" ht="15.9" customHeight="1" x14ac:dyDescent="0.3">
      <c r="B9" s="79"/>
      <c r="C9" s="71" t="str">
        <f>_xlfn.CONCAT(_xlfn.XLOOKUP("[S02_CompetentAuthority][3][CAName]",Submission!$O:$O,Submission!$H:$N,""))</f>
        <v>Regional Inspectorates of Environment and Water</v>
      </c>
      <c r="D9" s="72" t="str">
        <f>_xlfn.CONCAT(_xlfn.XLOOKUP("[S02_CompetentAuthority][3][CAAbbreviation]",Submission!$O:$O,Submission!$H:$N,""))</f>
        <v>RIEW</v>
      </c>
      <c r="E9" s="72" t="str">
        <f>_xlfn.CONCAT(_xlfn.XLOOKUP("[S02_CompetentAuthority][3][CAType]",Submission!$O:$O,Submission!$H:$N,""))</f>
        <v>Regional competent authority</v>
      </c>
      <c r="F9" s="105" t="str">
        <f>_xlfn.CONCAT(_xlfn.XLOOKUP("[S02_CompetentAuthority][3][CANumber]",Submission!$O:$O,Submission!$H:$N,""))</f>
        <v>+359 2 940 64 98</v>
      </c>
      <c r="G9" s="177" t="str">
        <f>_xlfn.CONCAT(_xlfn.XLOOKUP("[S02_CompetentAuthority][3][CATelephone]",Submission!$O:$O,Submission!$H:$N,""))</f>
        <v/>
      </c>
      <c r="H9" s="83" t="str">
        <f>_xlfn.CONCAT(_xlfn.XLOOKUP("[S02_CompetentAuthority][3][CAEmail]",Submission!$O:$O,Submission!$H:$N,""))</f>
        <v>riosv@riew-sofia.org</v>
      </c>
      <c r="I9" s="72" t="str">
        <f>_xlfn.CONCAT(_xlfn.XLOOKUP("[S02_CompetentAuthority][3][CAWebsite]",Submission!$O:$O,Submission!$H:$N,""))</f>
        <v>http://www.moew.government.bg</v>
      </c>
      <c r="J9" s="79"/>
    </row>
    <row r="10" spans="1:11" s="58" customFormat="1" ht="15.9" customHeight="1" x14ac:dyDescent="0.3">
      <c r="B10" s="79"/>
      <c r="C10" s="71" t="str">
        <f>_xlfn.CONCAT(_xlfn.XLOOKUP("[S02_CompetentAuthority][4][CAName]",Submission!$O:$O,Submission!$H:$N,""))</f>
        <v>Council of Ministers of the Republic of Bulgaria</v>
      </c>
      <c r="D10" s="72" t="str">
        <f>_xlfn.CONCAT(_xlfn.XLOOKUP("[S02_CompetentAuthority][4][CAAbbreviation]",Submission!$O:$O,Submission!$H:$N,""))</f>
        <v>CMRB</v>
      </c>
      <c r="E10" s="72" t="str">
        <f>_xlfn.CONCAT(_xlfn.XLOOKUP("[S02_CompetentAuthority][4][CAType]",Submission!$O:$O,Submission!$H:$N,""))</f>
        <v>Other</v>
      </c>
      <c r="F10" s="105" t="str">
        <f>_xlfn.CONCAT(_xlfn.XLOOKUP("[S02_CompetentAuthority][4][CANumber]",Submission!$O:$O,Submission!$H:$N,""))</f>
        <v>+359 2 940 27 70</v>
      </c>
      <c r="G10" s="177" t="str">
        <f>_xlfn.CONCAT(_xlfn.XLOOKUP("[S02_CompetentAuthority][4][CATelephone]",Submission!$O:$O,Submission!$H:$N,""))</f>
        <v/>
      </c>
      <c r="H10" s="83" t="str">
        <f>_xlfn.CONCAT(_xlfn.XLOOKUP("[S02_CompetentAuthority][4][CAEmail]",Submission!$O:$O,Submission!$H:$N,""))</f>
        <v>GIS@government.bg</v>
      </c>
      <c r="I10" s="72" t="str">
        <f>_xlfn.CONCAT(_xlfn.XLOOKUP("[S02_CompetentAuthority][4][CAWebsite]",Submission!$O:$O,Submission!$H:$N,""))</f>
        <v>http://www.government.bg/</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Executive agency Bulgarian accreditation service</v>
      </c>
      <c r="D39" s="289"/>
      <c r="E39" s="72" t="str">
        <f>_xlfn.CONCAT(_xlfn.XLOOKUP("[S02_AccreditationBody][1][AccBodyAbbreviation]",Submission!$O:$O,Submission!$H:$N,""))</f>
        <v>EABAS</v>
      </c>
      <c r="F39" s="177" t="str">
        <f>_xlfn.CONCAT(_xlfn.XLOOKUP("[S02_AccreditationBody][1][AccBodyTelephone]",Submission!$O:$O,Submission!$H:$N,""))</f>
        <v>35929766401</v>
      </c>
      <c r="G39" s="77" t="str">
        <f>_xlfn.CONCAT(_xlfn.XLOOKUP("[S02_AccreditationBody][1][AccBodyEmail]",Submission!$O:$O,Submission!$H:$N,""))</f>
        <v>office@nab-bas.bg</v>
      </c>
      <c r="H39" s="292" t="str">
        <f>_xlfn.CONCAT(_xlfn.XLOOKUP("[S02_AccreditationBody][1][AccBodyWebsite]",Submission!$O:$O,Submission!$H:$N,""))</f>
        <v>www.nab-bas.bg</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Executive Environment Agency</v>
      </c>
      <c r="D49" s="289"/>
      <c r="E49" s="72" t="str">
        <f>_xlfn.CONCAT(_xlfn.XLOOKUP("[S02_RegistryAdministrator][1][RegAdminAbbreviation]",Submission!$O:$O,Submission!$H:$N,""))</f>
        <v>ExEA</v>
      </c>
      <c r="F49" s="177" t="str">
        <f>_xlfn.CONCAT(_xlfn.XLOOKUP("[S02_RegistryAdministrator][1][RegAdminTelephone]",Submission!$O:$O,Submission!$H:$N,""))</f>
        <v>35929559022</v>
      </c>
      <c r="G49" s="77" t="str">
        <f>_xlfn.CONCAT(_xlfn.XLOOKUP("[S02_RegistryAdministrator][1][RegAdminEmail]",Submission!$O:$O,Submission!$H:$N,""))</f>
        <v>iaos@eea.government.bg</v>
      </c>
      <c r="H49" s="292" t="str">
        <f>_xlfn.CONCAT(_xlfn.XLOOKUP("[S02_RegistryAdministrator][1][RegAdminWebsite]",Submission!$O:$O,Submission!$H:$N,""))</f>
        <v>http://eea.government.bg</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ExEA</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ExEA</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MOEW,CMRB</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MOEW</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MOEW</v>
      </c>
      <c r="I58" s="256"/>
    </row>
    <row r="59" spans="1:9" s="79" customFormat="1" ht="28.95" customHeight="1" x14ac:dyDescent="0.3">
      <c r="A59" s="78"/>
      <c r="C59" s="251" t="s">
        <v>691</v>
      </c>
      <c r="D59" s="272"/>
      <c r="E59" s="273"/>
      <c r="F59" s="255" t="str">
        <f>_xlfn.CONCAT(_xlfn.XLOOKUP("[S02_CompetentAuthorityRoles][6][CAForInstallationTask]",Submission!$O:$O,Submission!$H:$N,""))</f>
        <v xml:space="preserve"> MOEW</v>
      </c>
      <c r="G59" s="256"/>
      <c r="H59" s="255" t="str">
        <f>_xlfn.CONCAT(_xlfn.XLOOKUP("[S02_CompetentAuthorityRoles][6][CAForAviationTask]",Submission!$O:$O,Submission!$H:$N,""))</f>
        <v xml:space="preserve"> MOEW</v>
      </c>
      <c r="I59" s="256"/>
    </row>
    <row r="60" spans="1:9" s="79" customFormat="1" ht="28.95" customHeight="1" x14ac:dyDescent="0.3">
      <c r="A60" s="78"/>
      <c r="C60" s="251" t="s">
        <v>42</v>
      </c>
      <c r="D60" s="272"/>
      <c r="E60" s="273"/>
      <c r="F60" s="255" t="str">
        <f>_xlfn.CONCAT(_xlfn.XLOOKUP("[S02_CompetentAuthorityRoles][7][CAForInstallationTask]",Submission!$O:$O,Submission!$H:$N,""))</f>
        <v>MOEW,ExEA</v>
      </c>
      <c r="G60" s="256"/>
      <c r="H60" s="255" t="str">
        <f>_xlfn.CONCAT(_xlfn.XLOOKUP("[S02_CompetentAuthorityRoles][7][CAForAviationTask]",Submission!$O:$O,Submission!$H:$N,""))</f>
        <v>MOEW,ExEA</v>
      </c>
      <c r="I60" s="256"/>
    </row>
    <row r="61" spans="1:9" s="79" customFormat="1" ht="28.95" customHeight="1" x14ac:dyDescent="0.3">
      <c r="A61" s="78"/>
      <c r="C61" s="251" t="s">
        <v>692</v>
      </c>
      <c r="D61" s="272"/>
      <c r="E61" s="273"/>
      <c r="F61" s="255" t="str">
        <f>_xlfn.CONCAT(_xlfn.XLOOKUP("[S02_CompetentAuthorityRoles][8][CAForInstallationTask]",Submission!$O:$O,Submission!$H:$N,""))</f>
        <v>ExEA</v>
      </c>
      <c r="G61" s="256"/>
      <c r="H61" s="255" t="str">
        <f>_xlfn.CONCAT(_xlfn.XLOOKUP("[S02_CompetentAuthorityRoles][8][CAForAviationTask]",Submission!$O:$O,Submission!$H:$N,""))</f>
        <v>ExEA</v>
      </c>
      <c r="I61" s="256"/>
    </row>
    <row r="62" spans="1:9" s="79" customFormat="1" ht="28.95" customHeight="1" x14ac:dyDescent="0.3">
      <c r="A62" s="78"/>
      <c r="C62" s="251" t="s">
        <v>693</v>
      </c>
      <c r="D62" s="272"/>
      <c r="E62" s="273"/>
      <c r="F62" s="255" t="str">
        <f>_xlfn.CONCAT(_xlfn.XLOOKUP("[S02_CompetentAuthorityRoles][9][CAForInstallationTask]",Submission!$O:$O,Submission!$H:$N,""))</f>
        <v>ExEA</v>
      </c>
      <c r="G62" s="256"/>
      <c r="H62" s="255" t="str">
        <f>_xlfn.CONCAT(_xlfn.XLOOKUP("[S02_CompetentAuthorityRoles][9][CAForAviationTask]",Submission!$O:$O,Submission!$H:$N,""))</f>
        <v>ExEA</v>
      </c>
      <c r="I62" s="256"/>
    </row>
    <row r="63" spans="1:9" s="79" customFormat="1" ht="28.95" customHeight="1" x14ac:dyDescent="0.3">
      <c r="A63" s="78"/>
      <c r="C63" s="251" t="s">
        <v>694</v>
      </c>
      <c r="D63" s="272"/>
      <c r="E63" s="273"/>
      <c r="F63" s="255" t="str">
        <f>_xlfn.CONCAT(_xlfn.XLOOKUP("[S02_CompetentAuthorityRoles][10][CAForInstallationTask]",Submission!$O:$O,Submission!$H:$N,""))</f>
        <v xml:space="preserve"> ExEA</v>
      </c>
      <c r="G63" s="256"/>
      <c r="H63" s="255" t="str">
        <f>_xlfn.CONCAT(_xlfn.XLOOKUP("[S02_CompetentAuthorityRoles][10][CAForAviationTask]",Submission!$O:$O,Submission!$H:$N,""))</f>
        <v xml:space="preserve"> ExEA</v>
      </c>
      <c r="I63" s="256"/>
    </row>
    <row r="64" spans="1:9" s="79" customFormat="1" ht="28.95" customHeight="1" x14ac:dyDescent="0.3">
      <c r="A64" s="78"/>
      <c r="C64" s="251" t="s">
        <v>46</v>
      </c>
      <c r="D64" s="272"/>
      <c r="E64" s="273"/>
      <c r="F64" s="255" t="str">
        <f>_xlfn.CONCAT(_xlfn.XLOOKUP("[S02_CompetentAuthorityRoles][11][CAForInstallationTask]",Submission!$O:$O,Submission!$H:$N,""))</f>
        <v>ExEA,RIEW</v>
      </c>
      <c r="G64" s="256"/>
      <c r="H64" s="255" t="str">
        <f>_xlfn.CONCAT(_xlfn.XLOOKUP("[S02_CompetentAuthorityRoles][11][CAForAviationTask]",Submission!$O:$O,Submission!$H:$N,""))</f>
        <v>ExEA</v>
      </c>
      <c r="I64" s="256"/>
    </row>
    <row r="65" spans="1:9" s="79" customFormat="1" ht="28.95" customHeight="1" x14ac:dyDescent="0.3">
      <c r="A65" s="78"/>
      <c r="C65" s="251" t="s">
        <v>695</v>
      </c>
      <c r="D65" s="272"/>
      <c r="E65" s="273"/>
      <c r="F65" s="255" t="str">
        <f>_xlfn.CONCAT(_xlfn.XLOOKUP("[S02_CompetentAuthorityRoles][12][CAForInstallationTask]",Submission!$O:$O,Submission!$H:$N,""))</f>
        <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Ministry of Environment and Water</v>
      </c>
      <c r="D82" s="254"/>
      <c r="E82" s="254"/>
      <c r="F82" s="254"/>
      <c r="G82" s="254" t="str">
        <f>_xlfn.CONCAT(_xlfn.XLOOKUP("[S02_CAFocalPoint][0][CAArt70Abbrev]",Submission!$O:$O,Submission!$H:$N,""))</f>
        <v>MOEW</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Yes</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Yes</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Yes</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Yes</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Yes</v>
      </c>
      <c r="H90" s="258" t="str">
        <f>_xlfn.CONCAT(_xlfn.XLOOKUP("[S02_CompetentAuthorityCoordination][5][CACoordinationComment]",Submission!$O:$O,Submission!$H:$N,""))</f>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Yes</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CA's representatives participate in the Technical Committee, managed by NAB</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No</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109</v>
      </c>
      <c r="H7" s="305"/>
      <c r="I7" s="306"/>
    </row>
    <row r="8" spans="1:9" s="7" customFormat="1" ht="15" customHeight="1" x14ac:dyDescent="0.3">
      <c r="A8" s="8"/>
      <c r="C8" s="301" t="s">
        <v>727</v>
      </c>
      <c r="D8" s="302"/>
      <c r="E8" s="302"/>
      <c r="F8" s="303"/>
      <c r="G8" s="304" t="str">
        <f>_xlfn.CONCAT(_xlfn.XLOOKUP("[S03_EmittingInstallations][2][NumberOfInstallations]",Submission!$O:$O,Submission!$H:$N,""))</f>
        <v>66</v>
      </c>
      <c r="H8" s="305"/>
      <c r="I8" s="306"/>
    </row>
    <row r="9" spans="1:9" s="7" customFormat="1" ht="15" customHeight="1" x14ac:dyDescent="0.3">
      <c r="A9" s="8"/>
      <c r="C9" s="301" t="s">
        <v>728</v>
      </c>
      <c r="D9" s="302"/>
      <c r="E9" s="302"/>
      <c r="F9" s="303"/>
      <c r="G9" s="304" t="str">
        <f>_xlfn.CONCAT(_xlfn.XLOOKUP("[S03_EmittingInstallations][3][NumberOfInstallations]",Submission!$O:$O,Submission!$H:$N,""))</f>
        <v>28</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15</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54</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Yes</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No</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Yes</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Yes</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Yes</v>
      </c>
      <c r="I38" s="300"/>
    </row>
    <row r="39" spans="1:9" s="11" customFormat="1" ht="15" x14ac:dyDescent="0.3">
      <c r="C39" s="296" t="s">
        <v>757</v>
      </c>
      <c r="D39" s="297"/>
      <c r="E39" s="297"/>
      <c r="F39" s="297"/>
      <c r="G39" s="298"/>
      <c r="H39" s="299" t="str">
        <f>_xlfn.CONCAT(_xlfn.XLOOKUP("[S03_ActivityPermits][25][ActivityPermitsIssued]",Submission!$O:$O,Submission!$H:$N,""))</f>
        <v>Yes</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3</v>
      </c>
      <c r="H64" s="132" t="str">
        <f>_xlfn.CONCAT(_xlfn.XLOOKUP("[S03_AircraftAnnex1Activities][1][NumberNonCommercialOperators]",Submission!$O:$O,Submission!$H:$N,""))</f>
        <v/>
      </c>
      <c r="I64" s="132" t="str">
        <f>_xlfn.CONCAT(_xlfn.XLOOKUP("[S03_AircraftAnnex1Activities][1][NumberTotalOperators]",Submission!$O:$O,Submission!$H:$N,""))</f>
        <v>3</v>
      </c>
    </row>
    <row r="65" spans="3:9" ht="15.9" customHeight="1" x14ac:dyDescent="0.3">
      <c r="C65" s="322" t="s">
        <v>782</v>
      </c>
      <c r="D65" s="323"/>
      <c r="E65" s="323"/>
      <c r="F65" s="324"/>
      <c r="G65" s="132" t="str">
        <f>_xlfn.CONCAT(_xlfn.XLOOKUP("[S03_AircraftAnnex1Activities][2][NumberCommercialOperators]",Submission!$O:$O,Submission!$H:$N,""))</f>
        <v>1</v>
      </c>
      <c r="H65" s="132" t="str">
        <f>_xlfn.CONCAT(_xlfn.XLOOKUP("[S03_AircraftAnnex1Activities][2][NumberNonCommercialOperators]",Submission!$O:$O,Submission!$H:$N,""))</f>
        <v/>
      </c>
      <c r="I65" s="132" t="str">
        <f>_xlfn.CONCAT(_xlfn.XLOOKUP("[S03_AircraftAnnex1Activities][2][NumberTotalOperators]",Submission!$O:$O,Submission!$H:$N,""))</f>
        <v>1</v>
      </c>
    </row>
    <row r="66" spans="3:9" ht="15.9" customHeight="1" x14ac:dyDescent="0.3">
      <c r="C66" s="322" t="s">
        <v>780</v>
      </c>
      <c r="D66" s="323"/>
      <c r="E66" s="323"/>
      <c r="F66" s="324"/>
      <c r="G66" s="132" t="str">
        <f>_xlfn.CONCAT(_xlfn.XLOOKUP("[S03_AircraftAnnex1Activities][3][NumberCommercialOperators]",Submission!$O:$O,Submission!$H:$N,""))</f>
        <v>4</v>
      </c>
      <c r="H66" s="132" t="str">
        <f>_xlfn.CONCAT(_xlfn.XLOOKUP("[S03_AircraftAnnex1Activities][3][NumberNonCommercialOperators]",Submission!$O:$O,Submission!$H:$N,""))</f>
        <v/>
      </c>
      <c r="I66" s="132" t="str">
        <f>_xlfn.CONCAT(_xlfn.XLOOKUP("[S03_AircraftAnnex1Activities][3][NumberTotalOperators]",Submission!$O:$O,Submission!$H:$N,""))</f>
        <v>4</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When can permits be withdrawn by the competent authority? Cessation of operation; non-compliance with permit conditions; decrease of capacity under the threshold</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The permit is updated in any case of change in the installed capacity</v>
      </c>
      <c r="H21" s="349"/>
      <c r="I21" s="350"/>
    </row>
    <row r="22" spans="1:9" ht="15.9" customHeight="1" x14ac:dyDescent="0.3">
      <c r="C22" s="301" t="s">
        <v>136</v>
      </c>
      <c r="D22" s="332"/>
      <c r="E22" s="332"/>
      <c r="F22" s="347"/>
      <c r="G22" s="348" t="str">
        <f>_xlfn.CONCAT(_xlfn.XLOOKUP("[S04_NationalLawPermitUpdate][4][PermitUpdateNationalLawDetail]",Submission!$O:$O,Submission!$H:$N,""))</f>
        <v>The permit is updated in any case of change in the installed capacity</v>
      </c>
      <c r="H22" s="349"/>
      <c r="I22" s="350"/>
    </row>
    <row r="23" spans="1:9" ht="15.9" customHeight="1" x14ac:dyDescent="0.3">
      <c r="C23" s="301" t="s">
        <v>138</v>
      </c>
      <c r="D23" s="332"/>
      <c r="E23" s="332"/>
      <c r="F23" s="347"/>
      <c r="G23" s="348" t="str">
        <f>_xlfn.CONCAT(_xlfn.XLOOKUP("[S04_NationalLawPermitUpdate][5][PermitUpdateNationalLawDetail]",Submission!$O:$O,Submission!$H:$N,""))</f>
        <v>In accordance with Art. 15 (3) of COMMISSION IMPLEMENTING REGULATION (EU) 2018/2066</v>
      </c>
      <c r="H23" s="349"/>
      <c r="I23" s="350"/>
    </row>
    <row r="24" spans="1:9" ht="15.9" customHeight="1" x14ac:dyDescent="0.3">
      <c r="C24" s="301" t="s">
        <v>798</v>
      </c>
      <c r="D24" s="332"/>
      <c r="E24" s="332"/>
      <c r="F24" s="347"/>
      <c r="G24" s="348" t="str">
        <f>_xlfn.CONCAT(_xlfn.XLOOKUP("[S04_NationalLawPermitUpdate][6][PermitUpdateNationalLawDetail]",Submission!$O:$O,Submission!$H:$N,""))</f>
        <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5</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Yes</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In 2013 a new Climate Change Mitigation Act has been adopted (amended SG, 20/03/2020) Other more specific requirements are listed in: 1) Ordinance on the manner of issuing and reviewing GHGs emissions permits of installations and monitoring by operators and aircraft operators, participating in the EU ETS (SG, 27/11/2020) 2) Ordinance for the conditions and terms for reporting and verification of reports of the operators of installations and aircraft operators (SG, 09/09/2014) 3) Ordinance for the order and manner of administration of the national registry for GHG emission allowances trade (SG, 05/01/2018)</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12425.228608062</v>
      </c>
      <c r="G53" s="378"/>
      <c r="H53" s="375" t="str">
        <f>_xlfn.CONCAT(_xlfn.XLOOKUP("[S05_InstallationFuelConsEmissions][1][FuelAnnualEmissions]",Submission!$O:$O,Submission!$H:$N,""))</f>
        <v>1148932</v>
      </c>
      <c r="I53" s="376"/>
    </row>
    <row r="54" spans="1:9" ht="15.9" customHeight="1" x14ac:dyDescent="0.3">
      <c r="C54" s="251" t="s">
        <v>197</v>
      </c>
      <c r="D54" s="257"/>
      <c r="E54" s="250"/>
      <c r="F54" s="377" t="str">
        <f>_xlfn.CONCAT(_xlfn.XLOOKUP("[S05_InstallationFuelConsEmissions][2][FuelConsumption]",Submission!$O:$O,Submission!$H:$N,""))</f>
        <v>180181.997262649</v>
      </c>
      <c r="G54" s="378"/>
      <c r="H54" s="375" t="str">
        <f>_xlfn.CONCAT(_xlfn.XLOOKUP("[S05_InstallationFuelConsEmissions][2][FuelAnnualEmissions]",Submission!$O:$O,Submission!$H:$N,""))</f>
        <v>18033224.44</v>
      </c>
      <c r="I54" s="376"/>
    </row>
    <row r="55" spans="1:9" ht="15.9" customHeight="1" x14ac:dyDescent="0.3">
      <c r="C55" s="251" t="s">
        <v>199</v>
      </c>
      <c r="D55" s="257"/>
      <c r="E55" s="250"/>
      <c r="F55" s="377" t="str">
        <f>_xlfn.CONCAT(_xlfn.XLOOKUP("[S05_InstallationFuelConsEmissions][3][FuelConsumption]",Submission!$O:$O,Submission!$H:$N,""))</f>
        <v>0</v>
      </c>
      <c r="G55" s="378"/>
      <c r="H55" s="375" t="str">
        <f>_xlfn.CONCAT(_xlfn.XLOOKUP("[S05_InstallationFuelConsEmissions][3][FuelAnnualEmissions]",Submission!$O:$O,Submission!$H:$N,""))</f>
        <v>0</v>
      </c>
      <c r="I55" s="376"/>
    </row>
    <row r="56" spans="1:9" ht="15.9" customHeight="1" x14ac:dyDescent="0.3">
      <c r="C56" s="251" t="s">
        <v>201</v>
      </c>
      <c r="D56" s="257"/>
      <c r="E56" s="250"/>
      <c r="F56" s="377" t="str">
        <f>_xlfn.CONCAT(_xlfn.XLOOKUP("[S05_InstallationFuelConsEmissions][4][FuelConsumption]",Submission!$O:$O,Submission!$H:$N,""))</f>
        <v>10055.414531028</v>
      </c>
      <c r="G56" s="378"/>
      <c r="H56" s="375" t="str">
        <f>_xlfn.CONCAT(_xlfn.XLOOKUP("[S05_InstallationFuelConsEmissions][4][FuelAnnualEmissions]",Submission!$O:$O,Submission!$H:$N,""))</f>
        <v>946841.865</v>
      </c>
      <c r="I56" s="376"/>
    </row>
    <row r="57" spans="1:9" ht="15.9" customHeight="1" x14ac:dyDescent="0.3">
      <c r="C57" s="251" t="s">
        <v>846</v>
      </c>
      <c r="D57" s="257"/>
      <c r="E57" s="250"/>
      <c r="F57" s="377" t="str">
        <f>_xlfn.CONCAT(_xlfn.XLOOKUP("[S05_InstallationFuelConsEmissions][5][FuelConsumption]",Submission!$O:$O,Submission!$H:$N,""))</f>
        <v>73600.4078773544</v>
      </c>
      <c r="G57" s="378"/>
      <c r="H57" s="375" t="str">
        <f>_xlfn.CONCAT(_xlfn.XLOOKUP("[S05_InstallationFuelConsEmissions][5][FuelAnnualEmissions]",Submission!$O:$O,Submission!$H:$N,""))</f>
        <v>4162208</v>
      </c>
      <c r="I57" s="376"/>
    </row>
    <row r="58" spans="1:9" ht="15.9" customHeight="1" x14ac:dyDescent="0.3">
      <c r="C58" s="251" t="s">
        <v>847</v>
      </c>
      <c r="D58" s="257"/>
      <c r="E58" s="250"/>
      <c r="F58" s="377" t="str">
        <f>_xlfn.CONCAT(_xlfn.XLOOKUP("[S05_InstallationFuelConsEmissions][6][FuelConsumption]",Submission!$O:$O,Submission!$H:$N,""))</f>
        <v>0</v>
      </c>
      <c r="G58" s="378"/>
      <c r="H58" s="375" t="str">
        <f>_xlfn.CONCAT(_xlfn.XLOOKUP("[S05_InstallationFuelConsEmissions][6][FuelAnnualEmissions]",Submission!$O:$O,Submission!$H:$N,""))</f>
        <v>0</v>
      </c>
      <c r="I58" s="376"/>
    </row>
    <row r="59" spans="1:9" ht="15.9" customHeight="1" x14ac:dyDescent="0.3">
      <c r="C59" s="251" t="s">
        <v>848</v>
      </c>
      <c r="D59" s="257"/>
      <c r="E59" s="250"/>
      <c r="F59" s="377" t="str">
        <f>_xlfn.CONCAT(_xlfn.XLOOKUP("[S05_InstallationFuelConsEmissions][7][FuelConsumption]",Submission!$O:$O,Submission!$H:$N,""))</f>
        <v>0</v>
      </c>
      <c r="G59" s="378"/>
      <c r="H59" s="375" t="str">
        <f>_xlfn.CONCAT(_xlfn.XLOOKUP("[S05_InstallationFuelConsEmissions][7][FuelAnnualEmissions]",Submission!$O:$O,Submission!$H:$N,""))</f>
        <v>0</v>
      </c>
      <c r="I59" s="376"/>
    </row>
    <row r="60" spans="1:9" ht="15.9" customHeight="1" x14ac:dyDescent="0.3">
      <c r="C60" s="251" t="s">
        <v>207</v>
      </c>
      <c r="D60" s="257"/>
      <c r="E60" s="250"/>
      <c r="F60" s="377" t="str">
        <f>_xlfn.CONCAT(_xlfn.XLOOKUP("[S05_InstallationFuelConsEmissions][8][FuelConsumption]",Submission!$O:$O,Submission!$H:$N,""))</f>
        <v>14629.268840243</v>
      </c>
      <c r="G60" s="378"/>
      <c r="H60" s="375" t="str">
        <f>_xlfn.CONCAT(_xlfn.XLOOKUP("[S05_InstallationFuelConsEmissions][8][FuelAnnualEmissions]",Submission!$O:$O,Submission!$H:$N,""))</f>
        <v>843962.2</v>
      </c>
      <c r="I60" s="376"/>
    </row>
    <row r="61" spans="1:9" ht="15.9" customHeight="1" x14ac:dyDescent="0.3">
      <c r="C61" s="251" t="s">
        <v>849</v>
      </c>
      <c r="D61" s="257"/>
      <c r="E61" s="250"/>
      <c r="F61" s="377" t="str">
        <f>_xlfn.CONCAT(_xlfn.XLOOKUP("[S05_InstallationFuelConsEmissions][9][FuelConsumption]",Submission!$O:$O,Submission!$H:$N,""))</f>
        <v>1535.680554</v>
      </c>
      <c r="G61" s="378"/>
      <c r="H61" s="375" t="str">
        <f>_xlfn.CONCAT(_xlfn.XLOOKUP("[S05_InstallationFuelConsEmissions][9][FuelAnnualEmissions]",Submission!$O:$O,Submission!$H:$N,""))</f>
        <v>118862.803</v>
      </c>
      <c r="I61" s="376"/>
    </row>
    <row r="62" spans="1:9" ht="15.9" customHeight="1" x14ac:dyDescent="0.3">
      <c r="C62" s="251" t="s">
        <v>211</v>
      </c>
      <c r="D62" s="257"/>
      <c r="E62" s="250"/>
      <c r="F62" s="377" t="str">
        <f>_xlfn.CONCAT(_xlfn.XLOOKUP("[S05_InstallationFuelConsEmissions][10][FuelConsumption]",Submission!$O:$O,Submission!$H:$N,""))</f>
        <v>0</v>
      </c>
      <c r="G62" s="378"/>
      <c r="H62" s="375" t="str">
        <f>_xlfn.CONCAT(_xlfn.XLOOKUP("[S05_InstallationFuelConsEmissions][10][FuelAnnualEmissions]",Submission!$O:$O,Submission!$H:$N,""))</f>
        <v>0</v>
      </c>
      <c r="I62" s="376"/>
    </row>
    <row r="63" spans="1:9" ht="15.9" customHeight="1" x14ac:dyDescent="0.3">
      <c r="C63" s="251" t="s">
        <v>212</v>
      </c>
      <c r="D63" s="257"/>
      <c r="E63" s="250"/>
      <c r="F63" s="377" t="str">
        <f>_xlfn.CONCAT(_xlfn.XLOOKUP("[S05_InstallationFuelConsEmissions][11][FuelConsumption]",Submission!$O:$O,Submission!$H:$N,""))</f>
        <v>8.6177737</v>
      </c>
      <c r="G63" s="378"/>
      <c r="H63" s="375" t="str">
        <f>_xlfn.CONCAT(_xlfn.XLOOKUP("[S05_InstallationFuelConsEmissions][11][FuelAnnualEmissions]",Submission!$O:$O,Submission!$H:$N,""))</f>
        <v>807.5</v>
      </c>
      <c r="I63" s="376"/>
    </row>
    <row r="64" spans="1:9" ht="15.9" customHeight="1" x14ac:dyDescent="0.3">
      <c r="C64" s="251" t="s">
        <v>850</v>
      </c>
      <c r="D64" s="257"/>
      <c r="E64" s="250"/>
      <c r="F64" s="377" t="str">
        <f>_xlfn.CONCAT(_xlfn.XLOOKUP("[S05_InstallationFuelConsEmissions][12][FuelConsumption]",Submission!$O:$O,Submission!$H:$N,""))</f>
        <v>246.98982959948</v>
      </c>
      <c r="G64" s="378"/>
      <c r="H64" s="375" t="str">
        <f>_xlfn.CONCAT(_xlfn.XLOOKUP("[S05_InstallationFuelConsEmissions][12][FuelAnnualEmissions]",Submission!$O:$O,Submission!$H:$N,""))</f>
        <v>18303.436</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2A4 - Process - Other Process Uses of Carbonates</v>
      </c>
      <c r="F69" s="366"/>
      <c r="G69" s="126" t="str">
        <f>_xlfn.CONCAT(_xlfn.XLOOKUP("[S05_AggregateTotalEmissionsByCRF][1][TotalEmissionsTCo2e]",Submission!$O:$O,Submission!$H:$N,""))</f>
        <v>20986041.4376687</v>
      </c>
      <c r="H69" s="126" t="str">
        <f>_xlfn.CONCAT(_xlfn.XLOOKUP("[S05_AggregateTotalEmissionsByCRF][1][TotalCombustionEmissionsTCo2e]",Submission!$O:$O,Submission!$H:$N,""))</f>
        <v>20760101.2176688</v>
      </c>
      <c r="I69" s="126" t="str">
        <f>_xlfn.CONCAT(_xlfn.XLOOKUP("[S05_AggregateTotalEmissionsByCRF][1][TotalProcessEmissionsTCo2e]",Submission!$O:$O,Submission!$H:$N,""))</f>
        <v>225940.22</v>
      </c>
    </row>
    <row r="70" spans="1:14" ht="16.2" customHeight="1" x14ac:dyDescent="0.3">
      <c r="C70" s="365" t="str">
        <f>_xlfn.CONCAT(_xlfn.XLOOKUP("[S05_AggregateTotalEmissionsByCRF][2][CRFCategory1]",Submission!$O:$O,Submission!$H:$N,""))</f>
        <v>1A1b - Energy - Petroleum Refining</v>
      </c>
      <c r="D70" s="366"/>
      <c r="E70" s="367" t="str">
        <f>_xlfn.CONCAT(_xlfn.XLOOKUP("[S05_AggregateTotalEmissionsByCRF][2][CRFCategory2]",Submission!$O:$O,Submission!$H:$N,""))</f>
        <v/>
      </c>
      <c r="F70" s="368"/>
      <c r="G70" s="126" t="str">
        <f>_xlfn.CONCAT(_xlfn.XLOOKUP("[S05_AggregateTotalEmissionsByCRF][2][TotalEmissionsTCo2e]",Submission!$O:$O,Submission!$H:$N,""))</f>
        <v>1519667.94</v>
      </c>
      <c r="H70" s="126" t="str">
        <f>_xlfn.CONCAT(_xlfn.XLOOKUP("[S05_AggregateTotalEmissionsByCRF][2][TotalCombustionEmissionsTCo2e]",Submission!$O:$O,Submission!$H:$N,""))</f>
        <v>1519667.94</v>
      </c>
      <c r="I70" s="126" t="str">
        <f>_xlfn.CONCAT(_xlfn.XLOOKUP("[S05_AggregateTotalEmissionsByCRF][2][TotalProcessEmissionsTCo2e]",Submission!$O:$O,Submission!$H:$N,""))</f>
        <v/>
      </c>
    </row>
    <row r="71" spans="1:14" ht="16.2" customHeight="1" x14ac:dyDescent="0.3">
      <c r="C71" s="365" t="str">
        <f>_xlfn.CONCAT(_xlfn.XLOOKUP("[S05_AggregateTotalEmissionsByCRF][3][CRFCategory1]",Submission!$O:$O,Submission!$H:$N,""))</f>
        <v>1A2a - Energy - Iron and Steel</v>
      </c>
      <c r="D71" s="366"/>
      <c r="E71" s="367" t="str">
        <f>_xlfn.CONCAT(_xlfn.XLOOKUP("[S05_AggregateTotalEmissionsByCRF][3][CRFCategory2]",Submission!$O:$O,Submission!$H:$N,""))</f>
        <v>2C1 - Process - Iron and Steel Production</v>
      </c>
      <c r="F71" s="368"/>
      <c r="G71" s="126" t="str">
        <f>_xlfn.CONCAT(_xlfn.XLOOKUP("[S05_AggregateTotalEmissionsByCRF][3][TotalEmissionsTCo2e]",Submission!$O:$O,Submission!$H:$N,""))</f>
        <v>135841.861676966</v>
      </c>
      <c r="H71" s="126" t="str">
        <f>_xlfn.CONCAT(_xlfn.XLOOKUP("[S05_AggregateTotalEmissionsByCRF][3][TotalCombustionEmissionsTCo2e]",Submission!$O:$O,Submission!$H:$N,""))</f>
        <v>112970.11</v>
      </c>
      <c r="I71" s="126" t="str">
        <f>_xlfn.CONCAT(_xlfn.XLOOKUP("[S05_AggregateTotalEmissionsByCRF][3][TotalProcessEmissionsTCo2e]",Submission!$O:$O,Submission!$H:$N,""))</f>
        <v>22871.7516769663</v>
      </c>
    </row>
    <row r="72" spans="1:14" ht="16.2" customHeight="1" x14ac:dyDescent="0.3">
      <c r="C72" s="365" t="str">
        <f>_xlfn.CONCAT(_xlfn.XLOOKUP("[S05_AggregateTotalEmissionsByCRF][4][CRFCategory1]",Submission!$O:$O,Submission!$H:$N,""))</f>
        <v>1A2b - Energy - Non-Ferrous Metals</v>
      </c>
      <c r="D72" s="366"/>
      <c r="E72" s="367" t="str">
        <f>_xlfn.CONCAT(_xlfn.XLOOKUP("[S05_AggregateTotalEmissionsByCRF][4][CRFCategory2]",Submission!$O:$O,Submission!$H:$N,""))</f>
        <v/>
      </c>
      <c r="F72" s="368"/>
      <c r="G72" s="126" t="str">
        <f>_xlfn.CONCAT(_xlfn.XLOOKUP("[S05_AggregateTotalEmissionsByCRF][4][TotalEmissionsTCo2e]",Submission!$O:$O,Submission!$H:$N,""))</f>
        <v>285921</v>
      </c>
      <c r="H72" s="126" t="str">
        <f>_xlfn.CONCAT(_xlfn.XLOOKUP("[S05_AggregateTotalEmissionsByCRF][4][TotalCombustionEmissionsTCo2e]",Submission!$O:$O,Submission!$H:$N,""))</f>
        <v>285921</v>
      </c>
      <c r="I72" s="126" t="str">
        <f>_xlfn.CONCAT(_xlfn.XLOOKUP("[S05_AggregateTotalEmissionsByCRF][4][TotalProcessEmissionsTCo2e]",Submission!$O:$O,Submission!$H:$N,""))</f>
        <v/>
      </c>
    </row>
    <row r="73" spans="1:14" ht="16.2" customHeight="1" x14ac:dyDescent="0.3">
      <c r="C73" s="365" t="str">
        <f>_xlfn.CONCAT(_xlfn.XLOOKUP("[S05_AggregateTotalEmissionsByCRF][5][CRFCategory1]",Submission!$O:$O,Submission!$H:$N,""))</f>
        <v>1A2c - Energy - Chemicals</v>
      </c>
      <c r="D73" s="366"/>
      <c r="E73" s="367" t="str">
        <f>_xlfn.CONCAT(_xlfn.XLOOKUP("[S05_AggregateTotalEmissionsByCRF][5][CRFCategory2]",Submission!$O:$O,Submission!$H:$N,""))</f>
        <v xml:space="preserve">2B2 - Process - Nitric Acid Production </v>
      </c>
      <c r="F73" s="368"/>
      <c r="G73" s="126" t="str">
        <f>_xlfn.CONCAT(_xlfn.XLOOKUP("[S05_AggregateTotalEmissionsByCRF][5][TotalEmissionsTCo2e]",Submission!$O:$O,Submission!$H:$N,""))</f>
        <v>2620949.6918646</v>
      </c>
      <c r="H73" s="126" t="str">
        <f>_xlfn.CONCAT(_xlfn.XLOOKUP("[S05_AggregateTotalEmissionsByCRF][5][TotalCombustionEmissionsTCo2e]",Submission!$O:$O,Submission!$H:$N,""))</f>
        <v>720082.63</v>
      </c>
      <c r="I73" s="126" t="str">
        <f>_xlfn.CONCAT(_xlfn.XLOOKUP("[S05_AggregateTotalEmissionsByCRF][5][TotalProcessEmissionsTCo2e]",Submission!$O:$O,Submission!$H:$N,""))</f>
        <v>72998</v>
      </c>
    </row>
    <row r="74" spans="1:14" ht="16.2" customHeight="1" x14ac:dyDescent="0.3">
      <c r="C74" s="365" t="str">
        <f>_xlfn.CONCAT(_xlfn.XLOOKUP("[S05_AggregateTotalEmissionsByCRF][6][CRFCategory1]",Submission!$O:$O,Submission!$H:$N,""))</f>
        <v/>
      </c>
      <c r="D74" s="366"/>
      <c r="E74" s="367" t="str">
        <f>_xlfn.CONCAT(_xlfn.XLOOKUP("[S05_AggregateTotalEmissionsByCRF][6][CRFCategory2]",Submission!$O:$O,Submission!$H:$N,""))</f>
        <v xml:space="preserve">2B7 - Process - Soda Ash Production </v>
      </c>
      <c r="F74" s="368"/>
      <c r="G74" s="126" t="str">
        <f>_xlfn.CONCAT(_xlfn.XLOOKUP("[S05_AggregateTotalEmissionsByCRF][6][TotalEmissionsTCo2e]",Submission!$O:$O,Submission!$H:$N,""))</f>
        <v>1827869.0618646</v>
      </c>
      <c r="H74" s="126" t="str">
        <f>_xlfn.CONCAT(_xlfn.XLOOKUP("[S05_AggregateTotalEmissionsByCRF][6][TotalCombustionEmissionsTCo2e]",Submission!$O:$O,Submission!$H:$N,""))</f>
        <v/>
      </c>
      <c r="I74" s="126" t="str">
        <f>_xlfn.CONCAT(_xlfn.XLOOKUP("[S05_AggregateTotalEmissionsByCRF][6][TotalProcessEmissionsTCo2e]",Submission!$O:$O,Submission!$H:$N,""))</f>
        <v>1827869.0618646</v>
      </c>
    </row>
    <row r="75" spans="1:14" ht="16.2" customHeight="1" x14ac:dyDescent="0.3">
      <c r="C75" s="365" t="str">
        <f>_xlfn.CONCAT(_xlfn.XLOOKUP("[S05_AggregateTotalEmissionsByCRF][7][CRFCategory1]",Submission!$O:$O,Submission!$H:$N,""))</f>
        <v>1A2d - Energy - Pulp, Paper and Print</v>
      </c>
      <c r="D75" s="366"/>
      <c r="E75" s="367" t="str">
        <f>_xlfn.CONCAT(_xlfn.XLOOKUP("[S05_AggregateTotalEmissionsByCRF][7][CRFCategory2]",Submission!$O:$O,Submission!$H:$N,""))</f>
        <v>2A2 - Process - Lime Production</v>
      </c>
      <c r="F75" s="368"/>
      <c r="G75" s="126" t="str">
        <f>_xlfn.CONCAT(_xlfn.XLOOKUP("[S05_AggregateTotalEmissionsByCRF][7][TotalEmissionsTCo2e]",Submission!$O:$O,Submission!$H:$N,""))</f>
        <v>234529.29</v>
      </c>
      <c r="H75" s="126" t="str">
        <f>_xlfn.CONCAT(_xlfn.XLOOKUP("[S05_AggregateTotalEmissionsByCRF][7][TotalCombustionEmissionsTCo2e]",Submission!$O:$O,Submission!$H:$N,""))</f>
        <v>87679.22</v>
      </c>
      <c r="I75" s="126" t="str">
        <f>_xlfn.CONCAT(_xlfn.XLOOKUP("[S05_AggregateTotalEmissionsByCRF][7][TotalProcessEmissionsTCo2e]",Submission!$O:$O,Submission!$H:$N,""))</f>
        <v>146850.07</v>
      </c>
    </row>
    <row r="76" spans="1:14" ht="16.2" customHeight="1" x14ac:dyDescent="0.3">
      <c r="C76" s="365" t="str">
        <f>_xlfn.CONCAT(_xlfn.XLOOKUP("[S05_AggregateTotalEmissionsByCRF][8][CRFCategory1]",Submission!$O:$O,Submission!$H:$N,""))</f>
        <v>1A2e - Energy - Food Processing, Beverages and Tobacco</v>
      </c>
      <c r="D76" s="366"/>
      <c r="E76" s="367" t="str">
        <f>_xlfn.CONCAT(_xlfn.XLOOKUP("[S05_AggregateTotalEmissionsByCRF][8][CRFCategory2]",Submission!$O:$O,Submission!$H:$N,""))</f>
        <v/>
      </c>
      <c r="F76" s="368"/>
      <c r="G76" s="126" t="str">
        <f>_xlfn.CONCAT(_xlfn.XLOOKUP("[S05_AggregateTotalEmissionsByCRF][8][TotalEmissionsTCo2e]",Submission!$O:$O,Submission!$H:$N,""))</f>
        <v>163852.5</v>
      </c>
      <c r="H76" s="126" t="str">
        <f>_xlfn.CONCAT(_xlfn.XLOOKUP("[S05_AggregateTotalEmissionsByCRF][8][TotalCombustionEmissionsTCo2e]",Submission!$O:$O,Submission!$H:$N,""))</f>
        <v>163852.5</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1A2f - Energy - Non-metallic minerals</v>
      </c>
      <c r="D77" s="366"/>
      <c r="E77" s="367" t="str">
        <f>_xlfn.CONCAT(_xlfn.XLOOKUP("[S05_AggregateTotalEmissionsByCRF][9][CRFCategory2]",Submission!$O:$O,Submission!$H:$N,""))</f>
        <v>2A4 - Process - Other Process Uses of Carbonates</v>
      </c>
      <c r="F77" s="368"/>
      <c r="G77" s="126" t="str">
        <f>_xlfn.CONCAT(_xlfn.XLOOKUP("[S05_AggregateTotalEmissionsByCRF][9][TotalEmissionsTCo2e]",Submission!$O:$O,Submission!$H:$N,""))</f>
        <v>874242.480514338</v>
      </c>
      <c r="H77" s="126" t="str">
        <f>_xlfn.CONCAT(_xlfn.XLOOKUP("[S05_AggregateTotalEmissionsByCRF][9][TotalCombustionEmissionsTCo2e]",Submission!$O:$O,Submission!$H:$N,""))</f>
        <v>194089.962893301</v>
      </c>
      <c r="I77" s="126" t="str">
        <f>_xlfn.CONCAT(_xlfn.XLOOKUP("[S05_AggregateTotalEmissionsByCRF][9][TotalProcessEmissionsTCo2e]",Submission!$O:$O,Submission!$H:$N,""))</f>
        <v>680152.517621038</v>
      </c>
    </row>
    <row r="78" spans="1:14" ht="16.2" customHeight="1" x14ac:dyDescent="0.3">
      <c r="C78" s="365" t="str">
        <f>_xlfn.CONCAT(_xlfn.XLOOKUP("[S05_AggregateTotalEmissionsByCRF][10][CRFCategory1]",Submission!$O:$O,Submission!$H:$N,""))</f>
        <v>1A2f - Energy - Non-metallic minerals</v>
      </c>
      <c r="D78" s="366"/>
      <c r="E78" s="367" t="str">
        <f>_xlfn.CONCAT(_xlfn.XLOOKUP("[S05_AggregateTotalEmissionsByCRF][10][CRFCategory2]",Submission!$O:$O,Submission!$H:$N,""))</f>
        <v>2A2 - Process - Lime Production</v>
      </c>
      <c r="F78" s="368"/>
      <c r="G78" s="126" t="str">
        <f>_xlfn.CONCAT(_xlfn.XLOOKUP("[S05_AggregateTotalEmissionsByCRF][10][TotalEmissionsTCo2e]",Submission!$O:$O,Submission!$H:$N,""))</f>
        <v>173650.22</v>
      </c>
      <c r="H78" s="126" t="str">
        <f>_xlfn.CONCAT(_xlfn.XLOOKUP("[S05_AggregateTotalEmissionsByCRF][10][TotalCombustionEmissionsTCo2e]",Submission!$O:$O,Submission!$H:$N,""))</f>
        <v>26800.15</v>
      </c>
      <c r="I78" s="126" t="str">
        <f>_xlfn.CONCAT(_xlfn.XLOOKUP("[S05_AggregateTotalEmissionsByCRF][10][TotalProcessEmissionsTCo2e]",Submission!$O:$O,Submission!$H:$N,""))</f>
        <v>146850.07</v>
      </c>
    </row>
    <row r="79" spans="1:14" ht="16.2" customHeight="1" x14ac:dyDescent="0.3">
      <c r="C79" s="365" t="str">
        <f>_xlfn.CONCAT(_xlfn.XLOOKUP("[S05_AggregateTotalEmissionsByCRF][11][CRFCategory1]",Submission!$O:$O,Submission!$H:$N,""))</f>
        <v>1A2f - Energy - Non-metallic minerals</v>
      </c>
      <c r="D79" s="366"/>
      <c r="E79" s="367" t="str">
        <f>_xlfn.CONCAT(_xlfn.XLOOKUP("[S05_AggregateTotalEmissionsByCRF][11][CRFCategory2]",Submission!$O:$O,Submission!$H:$N,""))</f>
        <v>2A3 - Process - Glass production</v>
      </c>
      <c r="F79" s="368"/>
      <c r="G79" s="126" t="str">
        <f>_xlfn.CONCAT(_xlfn.XLOOKUP("[S05_AggregateTotalEmissionsByCRF][11][TotalEmissionsTCo2e]",Submission!$O:$O,Submission!$H:$N,""))</f>
        <v>639248.554381011</v>
      </c>
      <c r="H79" s="126" t="str">
        <f>_xlfn.CONCAT(_xlfn.XLOOKUP("[S05_AggregateTotalEmissionsByCRF][11][TotalCombustionEmissionsTCo2e]",Submission!$O:$O,Submission!$H:$N,""))</f>
        <v>454187.83</v>
      </c>
      <c r="I79" s="126" t="str">
        <f>_xlfn.CONCAT(_xlfn.XLOOKUP("[S05_AggregateTotalEmissionsByCRF][11][TotalProcessEmissionsTCo2e]",Submission!$O:$O,Submission!$H:$N,""))</f>
        <v>185060.724381011</v>
      </c>
    </row>
    <row r="80" spans="1:14" ht="16.2" customHeight="1" x14ac:dyDescent="0.3">
      <c r="C80" s="365" t="str">
        <f>_xlfn.CONCAT(_xlfn.XLOOKUP("[S05_AggregateTotalEmissionsByCRF][12][CRFCategory1]",Submission!$O:$O,Submission!$H:$N,""))</f>
        <v>1A2f - Energy - Non-metallic minerals</v>
      </c>
      <c r="D80" s="366"/>
      <c r="E80" s="367" t="str">
        <f>_xlfn.CONCAT(_xlfn.XLOOKUP("[S05_AggregateTotalEmissionsByCRF][12][CRFCategory2]",Submission!$O:$O,Submission!$H:$N,""))</f>
        <v>2A1 - Process - Cement Production</v>
      </c>
      <c r="F80" s="368"/>
      <c r="G80" s="126" t="str">
        <f>_xlfn.CONCAT(_xlfn.XLOOKUP("[S05_AggregateTotalEmissionsByCRF][12][TotalEmissionsTCo2e]",Submission!$O:$O,Submission!$H:$N,""))</f>
        <v>1061656.37914079</v>
      </c>
      <c r="H80" s="126" t="str">
        <f>_xlfn.CONCAT(_xlfn.XLOOKUP("[S05_AggregateTotalEmissionsByCRF][12][TotalCombustionEmissionsTCo2e]",Submission!$O:$O,Submission!$H:$N,""))</f>
        <v>27187</v>
      </c>
      <c r="I80" s="126" t="str">
        <f>_xlfn.CONCAT(_xlfn.XLOOKUP("[S05_AggregateTotalEmissionsByCRF][12][TotalProcessEmissionsTCo2e]",Submission!$O:$O,Submission!$H:$N,""))</f>
        <v>1034469.37914079</v>
      </c>
    </row>
    <row r="81" spans="3:9" ht="16.2" customHeight="1" x14ac:dyDescent="0.3">
      <c r="C81" s="365" t="str">
        <f>_xlfn.CONCAT(_xlfn.XLOOKUP("[S05_AggregateTotalEmissionsByCRF][13][CRFCategory1]",Submission!$O:$O,Submission!$H:$N,""))</f>
        <v>1A2g - Energy - Other Manufacturing Industries and Construction</v>
      </c>
      <c r="D81" s="366"/>
      <c r="E81" s="367" t="str">
        <f>_xlfn.CONCAT(_xlfn.XLOOKUP("[S05_AggregateTotalEmissionsByCRF][13][CRFCategory2]",Submission!$O:$O,Submission!$H:$N,""))</f>
        <v/>
      </c>
      <c r="F81" s="368"/>
      <c r="G81" s="126" t="str">
        <f>_xlfn.CONCAT(_xlfn.XLOOKUP("[S05_AggregateTotalEmissionsByCRF][13][TotalEmissionsTCo2e]",Submission!$O:$O,Submission!$H:$N,""))</f>
        <v>15283.72</v>
      </c>
      <c r="H81" s="126" t="str">
        <f>_xlfn.CONCAT(_xlfn.XLOOKUP("[S05_AggregateTotalEmissionsByCRF][13][TotalCombustionEmissionsTCo2e]",Submission!$O:$O,Submission!$H:$N,""))</f>
        <v>15283.72</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1A5a - Energy - Other Stationary</v>
      </c>
      <c r="D82" s="366"/>
      <c r="E82" s="367" t="str">
        <f>_xlfn.CONCAT(_xlfn.XLOOKUP("[S05_AggregateTotalEmissionsByCRF][14][CRFCategory2]",Submission!$O:$O,Submission!$H:$N,""))</f>
        <v/>
      </c>
      <c r="F82" s="368"/>
      <c r="G82" s="126" t="str">
        <f>_xlfn.CONCAT(_xlfn.XLOOKUP("[S05_AggregateTotalEmissionsByCRF][14][TotalEmissionsTCo2e]",Submission!$O:$O,Submission!$H:$N,""))</f>
        <v>128371.86</v>
      </c>
      <c r="H82" s="126" t="str">
        <f>_xlfn.CONCAT(_xlfn.XLOOKUP("[S05_AggregateTotalEmissionsByCRF][14][TotalCombustionEmissionsTCo2e]",Submission!$O:$O,Submission!$H:$N,""))</f>
        <v>128371.86</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1A4c - Energy - Agriculture/Forestry/Fishing</v>
      </c>
      <c r="D83" s="366"/>
      <c r="E83" s="367" t="str">
        <f>_xlfn.CONCAT(_xlfn.XLOOKUP("[S05_AggregateTotalEmissionsByCRF][15][CRFCategory2]",Submission!$O:$O,Submission!$H:$N,""))</f>
        <v/>
      </c>
      <c r="F83" s="368"/>
      <c r="G83" s="126" t="str">
        <f>_xlfn.CONCAT(_xlfn.XLOOKUP("[S05_AggregateTotalEmissionsByCRF][15][TotalEmissionsTCo2e]",Submission!$O:$O,Submission!$H:$N,""))</f>
        <v>1282.13849426923</v>
      </c>
      <c r="H83" s="126" t="str">
        <f>_xlfn.CONCAT(_xlfn.XLOOKUP("[S05_AggregateTotalEmissionsByCRF][15][TotalCombustionEmissionsTCo2e]",Submission!$O:$O,Submission!$H:$N,""))</f>
        <v>1282.13849426923</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
      </c>
      <c r="F84" s="368"/>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c>
      <c r="F85" s="368"/>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A installation</v>
      </c>
      <c r="D203" s="414"/>
      <c r="E203" s="414"/>
      <c r="F203" s="414"/>
      <c r="G203" s="364"/>
      <c r="H203" s="123" t="str">
        <f>_xlfn.CONCAT(_xlfn.XLOOKUP("[S05_DefaultValues][1][FuelMaterialType]",Submission!$O:$O,Submission!$H:$N,""))</f>
        <v>biogas</v>
      </c>
      <c r="I203" s="106" t="str">
        <f>_xlfn.CONCAT(_xlfn.XLOOKUP("[S05_DefaultValues][1][InstallationNumber]",Submission!$O:$O,Submission!$H:$N,""))</f>
        <v>1</v>
      </c>
    </row>
    <row r="204" spans="1:9" ht="15.9" customHeight="1" x14ac:dyDescent="0.3">
      <c r="A204" s="13"/>
      <c r="B204" s="34"/>
      <c r="C204" s="274" t="str">
        <f>_xlfn.CONCAT(_xlfn.XLOOKUP("[S05_DefaultValues][2][InstallationCategory]",Submission!$O:$O,Submission!$H:$N,""))</f>
        <v>Category A installation</v>
      </c>
      <c r="D204" s="414"/>
      <c r="E204" s="414"/>
      <c r="F204" s="414"/>
      <c r="G204" s="364"/>
      <c r="H204" s="123" t="str">
        <f>_xlfn.CONCAT(_xlfn.XLOOKUP("[S05_DefaultValues][2][FuelMaterialType]",Submission!$O:$O,Submission!$H:$N,""))</f>
        <v>biomass</v>
      </c>
      <c r="I204" s="106" t="str">
        <f>_xlfn.CONCAT(_xlfn.XLOOKUP("[S05_DefaultValues][2][InstallationNumber]",Submission!$O:$O,Submission!$H:$N,""))</f>
        <v>1</v>
      </c>
    </row>
    <row r="205" spans="1:9" ht="15.9" customHeight="1" x14ac:dyDescent="0.3">
      <c r="A205" s="13"/>
      <c r="B205" s="34"/>
      <c r="C205" s="274" t="str">
        <f>_xlfn.CONCAT(_xlfn.XLOOKUP("[S05_DefaultValues][3][InstallationCategory]",Submission!$O:$O,Submission!$H:$N,""))</f>
        <v>Category B installation</v>
      </c>
      <c r="D205" s="414"/>
      <c r="E205" s="414"/>
      <c r="F205" s="414"/>
      <c r="G205" s="364"/>
      <c r="H205" s="123" t="str">
        <f>_xlfn.CONCAT(_xlfn.XLOOKUP("[S05_DefaultValues][3][FuelMaterialType]",Submission!$O:$O,Submission!$H:$N,""))</f>
        <v>natural gas</v>
      </c>
      <c r="I205" s="106" t="str">
        <f>_xlfn.CONCAT(_xlfn.XLOOKUP("[S05_DefaultValues][3][InstallationNumber]",Submission!$O:$O,Submission!$H:$N,""))</f>
        <v>2</v>
      </c>
    </row>
    <row r="206" spans="1:9" ht="15.9" customHeight="1" x14ac:dyDescent="0.3">
      <c r="A206" s="13"/>
      <c r="B206" s="34"/>
      <c r="C206" s="274" t="str">
        <f>_xlfn.CONCAT(_xlfn.XLOOKUP("[S05_DefaultValues][4][InstallationCategory]",Submission!$O:$O,Submission!$H:$N,""))</f>
        <v>Category B installation</v>
      </c>
      <c r="D206" s="414"/>
      <c r="E206" s="414"/>
      <c r="F206" s="414"/>
      <c r="G206" s="364"/>
      <c r="H206" s="123" t="str">
        <f>_xlfn.CONCAT(_xlfn.XLOOKUP("[S05_DefaultValues][4][FuelMaterialType]",Submission!$O:$O,Submission!$H:$N,""))</f>
        <v>biomass</v>
      </c>
      <c r="I206" s="106" t="str">
        <f>_xlfn.CONCAT(_xlfn.XLOOKUP("[S05_DefaultValues][4][InstallationNumber]",Submission!$O:$O,Submission!$H:$N,""))</f>
        <v>1</v>
      </c>
    </row>
    <row r="207" spans="1:9" ht="15.9" customHeight="1" x14ac:dyDescent="0.3">
      <c r="A207" s="13"/>
      <c r="B207" s="34"/>
      <c r="C207" s="274" t="str">
        <f>_xlfn.CONCAT(_xlfn.XLOOKUP("[S05_DefaultValues][5][InstallationCategory]",Submission!$O:$O,Submission!$H:$N,""))</f>
        <v>Category C installation</v>
      </c>
      <c r="D207" s="414"/>
      <c r="E207" s="414"/>
      <c r="F207" s="414"/>
      <c r="G207" s="364"/>
      <c r="H207" s="123" t="str">
        <f>_xlfn.CONCAT(_xlfn.XLOOKUP("[S05_DefaultValues][5][FuelMaterialType]",Submission!$O:$O,Submission!$H:$N,""))</f>
        <v/>
      </c>
      <c r="I207" s="106" t="str">
        <f>_xlfn.CONCAT(_xlfn.XLOOKUP("[S05_DefaultValues][5][InstallationNumber]",Submission!$O:$O,Submission!$H:$N,""))</f>
        <v>0</v>
      </c>
    </row>
    <row r="208" spans="1:9" ht="15.9" customHeight="1" x14ac:dyDescent="0.3">
      <c r="A208" s="13"/>
      <c r="B208" s="34"/>
      <c r="C208" s="274" t="str">
        <f>_xlfn.CONCAT(_xlfn.XLOOKUP("[S05_DefaultValues][6][InstallationCategory]",Submission!$O:$O,Submission!$H:$N,""))</f>
        <v/>
      </c>
      <c r="D208" s="414"/>
      <c r="E208" s="414"/>
      <c r="F208" s="414"/>
      <c r="G208" s="364"/>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74" t="str">
        <f>_xlfn.CONCAT(_xlfn.XLOOKUP("[S05_DefaultValues][7][InstallationCategory]",Submission!$O:$O,Submission!$H:$N,""))</f>
        <v/>
      </c>
      <c r="D209" s="414"/>
      <c r="E209" s="414"/>
      <c r="F209" s="414"/>
      <c r="G209" s="364"/>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74" t="str">
        <f>_xlfn.CONCAT(_xlfn.XLOOKUP("[S05_DefaultValues][8][InstallationCategory]",Submission!$O:$O,Submission!$H:$N,""))</f>
        <v/>
      </c>
      <c r="D210" s="414"/>
      <c r="E210" s="414"/>
      <c r="F210" s="414"/>
      <c r="G210" s="364"/>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74" t="str">
        <f>_xlfn.CONCAT(_xlfn.XLOOKUP("[S05_DefaultValues][9][InstallationCategory]",Submission!$O:$O,Submission!$H:$N,""))</f>
        <v/>
      </c>
      <c r="D211" s="414"/>
      <c r="E211" s="414"/>
      <c r="F211" s="414"/>
      <c r="G211" s="364"/>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74" t="str">
        <f>_xlfn.CONCAT(_xlfn.XLOOKUP("[S05_DefaultValues][10][InstallationCategory]",Submission!$O:$O,Submission!$H:$N,""))</f>
        <v/>
      </c>
      <c r="D212" s="414"/>
      <c r="E212" s="414"/>
      <c r="F212" s="414"/>
      <c r="G212" s="364"/>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74" t="str">
        <f>_xlfn.CONCAT(_xlfn.XLOOKUP("[S05_DefaultValues][11][InstallationCategory]",Submission!$O:$O,Submission!$H:$N,""))</f>
        <v/>
      </c>
      <c r="D213" s="414"/>
      <c r="E213" s="414"/>
      <c r="F213" s="414"/>
      <c r="G213" s="364"/>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74" t="str">
        <f>_xlfn.CONCAT(_xlfn.XLOOKUP("[S05_DefaultValues][12][InstallationCategory]",Submission!$O:$O,Submission!$H:$N,""))</f>
        <v/>
      </c>
      <c r="D214" s="414"/>
      <c r="E214" s="414"/>
      <c r="F214" s="414"/>
      <c r="G214" s="364"/>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74" t="str">
        <f>_xlfn.CONCAT(_xlfn.XLOOKUP("[S05_DefaultValues][13][InstallationCategory]",Submission!$O:$O,Submission!$H:$N,""))</f>
        <v/>
      </c>
      <c r="D215" s="414"/>
      <c r="E215" s="414"/>
      <c r="F215" s="414"/>
      <c r="G215" s="364"/>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95</v>
      </c>
      <c r="D1037" s="72" t="str">
        <f>_xlfn.CONCAT(_xlfn.XLOOKUP("[S05_CategoryCHighestTierNotApplied][1][SourceStreamAffected]",Submission!$O:$O,Submission!$H:$N,""))</f>
        <v/>
      </c>
      <c r="E1037" s="72" t="str">
        <f>_xlfn.CONCAT(_xlfn.XLOOKUP("[S05_CategoryCHighestTierNotApplied][1][EmissionSourceAffected]",Submission!$O:$O,Submission!$H:$N,""))</f>
        <v>natural gas</v>
      </c>
      <c r="F1037" s="72" t="str">
        <f>_xlfn.CONCAT(_xlfn.XLOOKUP("[S05_CategoryCHighestTierNotApplied][1][MonitoringParameterAffected]",Submission!$O:$O,Submission!$H:$N,""))</f>
        <v>Net calorific value</v>
      </c>
      <c r="G1037" s="89" t="str">
        <f>_xlfn.CONCAT(_xlfn.XLOOKUP("[S05_CategoryCHighestTierNotApplied][1][HighestTierRequired]",Submission!$O:$O,Submission!$H:$N,""))</f>
        <v>Tier 3</v>
      </c>
      <c r="H1037" s="243" t="str">
        <f>_xlfn.CONCAT(_xlfn.XLOOKUP("[S05_CategoryCHighestTierNotApplied][1][TierInPractice]",Submission!$O:$O,Submission!$H:$N,""))</f>
        <v>Tier 2b</v>
      </c>
      <c r="I1037" s="245"/>
    </row>
    <row r="1038" spans="1:9" ht="24.6" customHeight="1" x14ac:dyDescent="0.3">
      <c r="B1038" s="34"/>
      <c r="C1038" s="72" t="str">
        <f>_xlfn.CONCAT(_xlfn.XLOOKUP("[S05_CategoryCHighestTierNotApplied][2][InstallationID]",Submission!$O:$O,Submission!$H:$N,""))</f>
        <v>95</v>
      </c>
      <c r="D1038" s="72" t="str">
        <f>_xlfn.CONCAT(_xlfn.XLOOKUP("[S05_CategoryCHighestTierNotApplied][2][SourceStreamAffected]",Submission!$O:$O,Submission!$H:$N,""))</f>
        <v/>
      </c>
      <c r="E1038" s="72" t="str">
        <f>_xlfn.CONCAT(_xlfn.XLOOKUP("[S05_CategoryCHighestTierNotApplied][2][EmissionSourceAffected]",Submission!$O:$O,Submission!$H:$N,""))</f>
        <v>natural gas</v>
      </c>
      <c r="F1038" s="72" t="str">
        <f>_xlfn.CONCAT(_xlfn.XLOOKUP("[S05_CategoryCHighestTierNotApplied][2][MonitoringParameterAffected]",Submission!$O:$O,Submission!$H:$N,""))</f>
        <v>Emission factor</v>
      </c>
      <c r="G1038" s="89" t="str">
        <f>_xlfn.CONCAT(_xlfn.XLOOKUP("[S05_CategoryCHighestTierNotApplied][2][HighestTierRequired]",Submission!$O:$O,Submission!$H:$N,""))</f>
        <v>Tier 3</v>
      </c>
      <c r="H1038" s="243" t="str">
        <f>_xlfn.CONCAT(_xlfn.XLOOKUP("[S05_CategoryCHighestTierNotApplied][2][TierInPractice]",Submission!$O:$O,Submission!$H:$N,""))</f>
        <v>Tier 2a</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Calculation based methodology</v>
      </c>
      <c r="D1098" s="260"/>
      <c r="E1098" s="274" t="str">
        <f>_xlfn.CONCAT(_xlfn.XLOOKUP("[S05_CategoryBHighestTierNotApplied][1][CategoryBMainActivity]",Submission!$O:$O,Submission!$H:$N,""))</f>
        <v>29 - Production of cement clinker in rotary kilns as specified in Annex I of Directive 2003/87/ EC</v>
      </c>
      <c r="F1098" s="369"/>
      <c r="G1098" s="259"/>
      <c r="H1098" s="351" t="str">
        <f>_xlfn.CONCAT(_xlfn.XLOOKUP("[S05_CategoryBHighestTierNotApplied][1][CategoryBInstallationsAffected]",Submission!$O:$O,Submission!$H:$N,""))</f>
        <v>1</v>
      </c>
      <c r="I1098" s="352"/>
    </row>
    <row r="1099" spans="1:9" ht="25.95" customHeight="1" x14ac:dyDescent="0.3">
      <c r="B1099" s="34"/>
      <c r="C1099" s="258" t="str">
        <f>_xlfn.CONCAT(_xlfn.XLOOKUP("[S05_CategoryBHighestTierNotApplied][2][MonitoringMethodology]",Submission!$O:$O,Submission!$H:$N,""))</f>
        <v>Calculation based methodology</v>
      </c>
      <c r="D1099" s="260"/>
      <c r="E1099" s="274" t="str">
        <f>_xlfn.CONCAT(_xlfn.XLOOKUP("[S05_CategoryBHighestTierNotApplied][2][CategoryBMainActivity]",Submission!$O:$O,Submission!$H:$N,""))</f>
        <v>30 - Production of lime or calcination of dolomite or magnesite as specified in Annex I of Directive 2003/87/ EC</v>
      </c>
      <c r="F1099" s="369"/>
      <c r="G1099" s="259"/>
      <c r="H1099" s="351" t="str">
        <f>_xlfn.CONCAT(_xlfn.XLOOKUP("[S05_CategoryBHighestTierNotApplied][2][CategoryBInstallationsAffected]",Submission!$O:$O,Submission!$H:$N,""))</f>
        <v>1</v>
      </c>
      <c r="I1099" s="352"/>
    </row>
    <row r="1100" spans="1:9" ht="25.95" customHeight="1" x14ac:dyDescent="0.3">
      <c r="B1100" s="34"/>
      <c r="C1100" s="258" t="str">
        <f>_xlfn.CONCAT(_xlfn.XLOOKUP("[S05_CategoryBHighestTierNotApplied][3][MonitoringMethodology]",Submission!$O:$O,Submission!$H:$N,""))</f>
        <v>Calculation based methodology</v>
      </c>
      <c r="D1100" s="260"/>
      <c r="E1100" s="274" t="str">
        <f>_xlfn.CONCAT(_xlfn.XLOOKUP("[S05_CategoryBHighestTierNotApplied][3][CategoryBMainActivity]",Submission!$O:$O,Submission!$H:$N,""))</f>
        <v>20 - Combustion of fuels as specified in Annex I of Directive 2003/87/EC</v>
      </c>
      <c r="F1100" s="369"/>
      <c r="G1100" s="259"/>
      <c r="H1100" s="351" t="str">
        <f>_xlfn.CONCAT(_xlfn.XLOOKUP("[S05_CategoryBHighestTierNotApplied][3][CategoryBInstallationsAffected]",Submission!$O:$O,Submission!$H:$N,""))</f>
        <v>1</v>
      </c>
      <c r="I1100" s="352"/>
    </row>
    <row r="1101" spans="1:9" ht="25.95" customHeight="1" x14ac:dyDescent="0.3">
      <c r="B1101" s="34"/>
      <c r="C1101" s="258" t="str">
        <f>_xlfn.CONCAT(_xlfn.XLOOKUP("[S05_CategoryBHighestTierNotApplied][4][MonitoringMethodology]",Submission!$O:$O,Submission!$H:$N,""))</f>
        <v>Calculation based methodology</v>
      </c>
      <c r="D1101" s="260"/>
      <c r="E1101" s="274" t="str">
        <f>_xlfn.CONCAT(_xlfn.XLOOKUP("[S05_CategoryBHighestTierNotApplied][4][CategoryBMainActivity]",Submission!$O:$O,Submission!$H:$N,""))</f>
        <v>31 - Manufacture of glass as specified in Annex I of Directive 2003/87/EC</v>
      </c>
      <c r="F1101" s="369"/>
      <c r="G1101" s="259"/>
      <c r="H1101" s="351" t="str">
        <f>_xlfn.CONCAT(_xlfn.XLOOKUP("[S05_CategoryBHighestTierNotApplied][4][CategoryBInstallationsAffected]",Submission!$O:$O,Submission!$H:$N,""))</f>
        <v>1</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Yes</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152</v>
      </c>
      <c r="D1127" s="258" t="str">
        <f>_xlfn.CONCAT(_xlfn.XLOOKUP("[S05_FallBackApproachAppliedDetail][1][FallBackReason]",Submission!$O:$O,Submission!$H:$N,""))</f>
        <v>Applying tier 1 is technically infeasible or leads to unreasonable costs for one minor source stream</v>
      </c>
      <c r="E1127" s="353"/>
      <c r="F1127" s="353"/>
      <c r="G1127" s="260"/>
      <c r="H1127" s="72" t="str">
        <f>_xlfn.CONCAT(_xlfn.XLOOKUP("[S05_FallBackApproachAppliedDetail][1][ParameterNotTier1]",Submission!$O:$O,Submission!$H:$N,""))</f>
        <v>Quantity of fuel</v>
      </c>
      <c r="I1127" s="124" t="str">
        <f>_xlfn.CONCAT(_xlfn.XLOOKUP("[S05_FallBackApproachAppliedDetail][1][ParameterEmissions]",Submission!$O:$O,Submission!$H:$N,""))</f>
        <v>9</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B</v>
      </c>
      <c r="D1144" s="274" t="str">
        <f>_xlfn.CONCAT(_xlfn.XLOOKUP("[S05_ImprovementReportArt69]["&amp;ROW(B1144)-ROW($B$1143)&amp;"][Annex1Activity]",Submission!$O:$O,Submission!$H:$N,""))</f>
        <v>29 - Production of cement clinker in rotary kilns as specified in Annex I of Directive 2003/87/ 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0</v>
      </c>
    </row>
    <row r="1145" spans="1:9" ht="27" customHeight="1" x14ac:dyDescent="0.3">
      <c r="A1145" s="12"/>
      <c r="C1145" s="47" t="str">
        <f>_xlfn.CONCAT(_xlfn.XLOOKUP("[S05_ImprovementReportArt69]["&amp;ROW(B1145)-ROW($B$1143)&amp;"][InstallationCategory]",Submission!$O:$O,Submission!$H:$N,""))</f>
        <v>Category C</v>
      </c>
      <c r="D1145" s="274" t="str">
        <f>_xlfn.CONCAT(_xlfn.XLOOKUP("[S05_ImprovementReportArt69]["&amp;ROW(B1145)-ROW($B$1143)&amp;"][Annex1Activity]",Submission!$O:$O,Submission!$H:$N,""))</f>
        <v>20 - Combustion of fuels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74" t="str">
        <f>_xlfn.CONCAT(_xlfn.XLOOKUP("[S05_ImprovementReportArt69]["&amp;ROW(B1146)-ROW($B$1143)&amp;"][Annex1Activity]",Submission!$O:$O,Submission!$H:$N,""))</f>
        <v>44 - Production of soda ash (Na2CO3) and sodium bicarbonate (NaHCO3) as specified in Annex I of Directive 2003/87/EC</v>
      </c>
      <c r="E1146" s="364"/>
      <c r="F1146" s="258" t="str">
        <f>_xlfn.CONCAT(_xlfn.XLOOKUP("[S05_ImprovementReportArt69]["&amp;ROW(B1146)-ROW($B$1143)&amp;"][ImprovementReportType]",Submission!$O:$O,Submission!$H:$N,""))</f>
        <v>Improvement report in accordance with Article 69(1)</v>
      </c>
      <c r="G1146" s="259"/>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
      </c>
      <c r="D1147" s="274" t="str">
        <f>_xlfn.CONCAT(_xlfn.XLOOKUP("[S05_ImprovementReportArt69]["&amp;ROW(B1147)-ROW($B$1143)&amp;"][Annex1Activity]",Submission!$O:$O,Submission!$H:$N,""))</f>
        <v/>
      </c>
      <c r="E1147" s="364"/>
      <c r="F1147" s="258" t="str">
        <f>_xlfn.CONCAT(_xlfn.XLOOKUP("[S05_ImprovementReportArt69]["&amp;ROW(B1147)-ROW($B$1143)&amp;"][ImprovementReportType]",Submission!$O:$O,Submission!$H:$N,""))</f>
        <v/>
      </c>
      <c r="G1147" s="259"/>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74" t="str">
        <f>_xlfn.CONCAT(_xlfn.XLOOKUP("[S05_ImprovementReportArt69]["&amp;ROW(B1148)-ROW($B$1143)&amp;"][Annex1Activity]",Submission!$O:$O,Submission!$H:$N,""))</f>
        <v/>
      </c>
      <c r="E1148" s="364"/>
      <c r="F1148" s="258" t="str">
        <f>_xlfn.CONCAT(_xlfn.XLOOKUP("[S05_ImprovementReportArt69]["&amp;ROW(B1148)-ROW($B$1143)&amp;"][ImprovementReportType]",Submission!$O:$O,Submission!$H:$N,""))</f>
        <v/>
      </c>
      <c r="G1148" s="259"/>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74" t="str">
        <f>_xlfn.CONCAT(_xlfn.XLOOKUP("[S05_ImprovementReportArt69]["&amp;ROW(B1149)-ROW($B$1143)&amp;"][Annex1Activity]",Submission!$O:$O,Submission!$H:$N,""))</f>
        <v/>
      </c>
      <c r="E1149" s="364"/>
      <c r="F1149" s="258" t="str">
        <f>_xlfn.CONCAT(_xlfn.XLOOKUP("[S05_ImprovementReportArt69]["&amp;ROW(B1149)-ROW($B$1143)&amp;"][ImprovementReportType]",Submission!$O:$O,Submission!$H:$N,""))</f>
        <v/>
      </c>
      <c r="G1149" s="259"/>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74" t="str">
        <f>_xlfn.CONCAT(_xlfn.XLOOKUP("[S05_ImprovementReportArt69]["&amp;ROW(B1150)-ROW($B$1143)&amp;"][Annex1Activity]",Submission!$O:$O,Submission!$H:$N,""))</f>
        <v/>
      </c>
      <c r="E1150" s="364"/>
      <c r="F1150" s="258" t="str">
        <f>_xlfn.CONCAT(_xlfn.XLOOKUP("[S05_ImprovementReportArt69]["&amp;ROW(B1150)-ROW($B$1143)&amp;"][ImprovementReportType]",Submission!$O:$O,Submission!$H:$N,""))</f>
        <v/>
      </c>
      <c r="G1150" s="259"/>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74" t="str">
        <f>_xlfn.CONCAT(_xlfn.XLOOKUP("[S05_ImprovementReportArt69]["&amp;ROW(B1151)-ROW($B$1143)&amp;"][Annex1Activity]",Submission!$O:$O,Submission!$H:$N,""))</f>
        <v/>
      </c>
      <c r="E1151" s="364"/>
      <c r="F1151" s="258" t="str">
        <f>_xlfn.CONCAT(_xlfn.XLOOKUP("[S05_ImprovementReportArt69]["&amp;ROW(B1151)-ROW($B$1143)&amp;"][ImprovementReportType]",Submission!$O:$O,Submission!$H:$N,""))</f>
        <v/>
      </c>
      <c r="G1151" s="259"/>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74" t="str">
        <f>_xlfn.CONCAT(_xlfn.XLOOKUP("[S05_ImprovementReportArt69]["&amp;ROW(B1152)-ROW($B$1143)&amp;"][Annex1Activity]",Submission!$O:$O,Submission!$H:$N,""))</f>
        <v/>
      </c>
      <c r="E1152" s="364"/>
      <c r="F1152" s="258" t="str">
        <f>_xlfn.CONCAT(_xlfn.XLOOKUP("[S05_ImprovementReportArt69]["&amp;ROW(B1152)-ROW($B$1143)&amp;"][ImprovementReportType]",Submission!$O:$O,Submission!$H:$N,""))</f>
        <v/>
      </c>
      <c r="G1152" s="259"/>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130</v>
      </c>
      <c r="D1327" s="260"/>
      <c r="E1327" s="258" t="str">
        <f>_xlfn.CONCAT(_xlfn.XLOOKUP("[S05_ContinuousEmissionsMeasurementDetail][1][InstallationIDN2O]",Submission!$O:$O,Submission!$H:$N,""))</f>
        <v>130</v>
      </c>
      <c r="F1327" s="260"/>
      <c r="G1327" s="127" t="str">
        <f>_xlfn.CONCAT(_xlfn.XLOOKUP("[S05_ContinuousEmissionsMeasurementDetail][1][TotalEmissionsCO2E]",Submission!$O:$O,Submission!$H:$N,""))</f>
        <v>681436</v>
      </c>
      <c r="H1327" s="127" t="str">
        <f>_xlfn.CONCAT(_xlfn.XLOOKUP("[S05_ContinuousEmissionsMeasurementDetail][1][ContinuousMeasurementTotalEmissions]",Submission!$O:$O,Submission!$H:$N,""))</f>
        <v>28724</v>
      </c>
      <c r="I1327" s="72" t="str">
        <f>_xlfn.CONCAT(_xlfn.XLOOKUP("[S05_ContinuousEmissionsMeasurementDetail][1][FlueGasContainBiomass]",Submission!$O:$O,Submission!$H:$N,""))</f>
        <v>no</v>
      </c>
    </row>
    <row r="1328" spans="1:12" ht="15.9" customHeight="1" x14ac:dyDescent="0.3">
      <c r="A1328" s="13"/>
      <c r="B1328" s="23"/>
      <c r="C1328" s="258" t="str">
        <f>_xlfn.CONCAT(_xlfn.XLOOKUP("[S05_ContinuousEmissionsMeasurementDetail][2][InstallationIDCO2]",Submission!$O:$O,Submission!$H:$N,""))</f>
        <v>33</v>
      </c>
      <c r="D1328" s="260"/>
      <c r="E1328" s="258" t="str">
        <f>_xlfn.CONCAT(_xlfn.XLOOKUP("[S05_ContinuousEmissionsMeasurementDetail][2][InstallationIDN2O]",Submission!$O:$O,Submission!$H:$N,""))</f>
        <v>33</v>
      </c>
      <c r="F1328" s="260"/>
      <c r="G1328" s="127" t="str">
        <f>_xlfn.CONCAT(_xlfn.XLOOKUP("[S05_ContinuousEmissionsMeasurementDetail][2][TotalEmissionsCO2E]",Submission!$O:$O,Submission!$H:$N,""))</f>
        <v>94370</v>
      </c>
      <c r="H1328" s="127" t="str">
        <f>_xlfn.CONCAT(_xlfn.XLOOKUP("[S05_ContinuousEmissionsMeasurementDetail][2][ContinuousMeasurementTotalEmissions]",Submission!$O:$O,Submission!$H:$N,""))</f>
        <v>44274</v>
      </c>
      <c r="I1328" s="72" t="str">
        <f>_xlfn.CONCAT(_xlfn.XLOOKUP("[S05_ContinuousEmissionsMeasurementDetail][2][FlueGasContainBiomass]",Submission!$O:$O,Submission!$H:$N,""))</f>
        <v>no</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10</v>
      </c>
      <c r="F1389" s="126" t="str">
        <f>_xlfn.CONCAT(_xlfn.XLOOKUP("[S05_BiomassInstallations][1][EmissionsBiomassSustainabilitySatisfied]",Submission!$O:$O,Submission!$H:$N,""))</f>
        <v>649584.974285984</v>
      </c>
      <c r="G1389" s="126" t="str">
        <f>_xlfn.CONCAT(_xlfn.XLOOKUP("[S05_BiomassInstallations][1][EmissionsBiomassSustainabilityNotSatisfied]",Submission!$O:$O,Submission!$H:$N,""))</f>
        <v>0</v>
      </c>
      <c r="H1389" s="126" t="str">
        <f>_xlfn.CONCAT(_xlfn.XLOOKUP("[S05_BiomassInstallations][1][EmissionsFossil]",Submission!$O:$O,Submission!$H:$N,""))</f>
        <v>298832.3</v>
      </c>
      <c r="I1389" s="126" t="str">
        <f>_xlfn.CONCAT(_xlfn.XLOOKUP("[S05_BiomassInstallations][1][EnergyZeroRatedBiomass]",Submission!$O:$O,Submission!$H:$N,""))</f>
        <v>5809.719260432</v>
      </c>
      <c r="J1389" s="126" t="str">
        <f>_xlfn.CONCAT(_xlfn.XLOOKUP("[S05_BiomassInstallations][1][EnergyNonZeroRatedBiomass]",Submission!$O:$O,Submission!$H:$N,""))</f>
        <v>0</v>
      </c>
      <c r="K1389" s="126" t="str">
        <f>_xlfn.CONCAT(_xlfn.XLOOKUP("[S05_BiomassInstallations][1][EnergyFossil]",Submission!$O:$O,Submission!$H:$N,""))</f>
        <v>3988.9630043398</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5</v>
      </c>
      <c r="F1390" s="126" t="str">
        <f>_xlfn.CONCAT(_xlfn.XLOOKUP("[S05_BiomassInstallations][2][EmissionsBiomassSustainabilitySatisfied]",Submission!$O:$O,Submission!$H:$N,""))</f>
        <v>369751.197912469</v>
      </c>
      <c r="G1390" s="126" t="str">
        <f>_xlfn.CONCAT(_xlfn.XLOOKUP("[S05_BiomassInstallations][2][EmissionsBiomassSustainabilityNotSatisfied]",Submission!$O:$O,Submission!$H:$N,""))</f>
        <v>0</v>
      </c>
      <c r="H1390" s="126" t="str">
        <f>_xlfn.CONCAT(_xlfn.XLOOKUP("[S05_BiomassInstallations][2][EmissionsFossil]",Submission!$O:$O,Submission!$H:$N,""))</f>
        <v>381155.7</v>
      </c>
      <c r="I1390" s="126" t="str">
        <f>_xlfn.CONCAT(_xlfn.XLOOKUP("[S05_BiomassInstallations][2][EnergyZeroRatedBiomass]",Submission!$O:$O,Submission!$H:$N,""))</f>
        <v>6441.604748472</v>
      </c>
      <c r="J1390" s="126" t="str">
        <f>_xlfn.CONCAT(_xlfn.XLOOKUP("[S05_BiomassInstallations][2][EnergyNonZeroRatedBiomass]",Submission!$O:$O,Submission!$H:$N,""))</f>
        <v>0</v>
      </c>
      <c r="K1390" s="126" t="str">
        <f>_xlfn.CONCAT(_xlfn.XLOOKUP("[S05_BiomassInstallations][2][EnergyFossil]",Submission!$O:$O,Submission!$H:$N,""))</f>
        <v>5900.43759386</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6</v>
      </c>
      <c r="F1391" s="126" t="str">
        <f>_xlfn.CONCAT(_xlfn.XLOOKUP("[S05_BiomassInstallations][3][EmissionsBiomassSustainabilitySatisfied]",Submission!$O:$O,Submission!$H:$N,""))</f>
        <v>993686.75926</v>
      </c>
      <c r="G1391" s="126" t="str">
        <f>_xlfn.CONCAT(_xlfn.XLOOKUP("[S05_BiomassInstallations][3][EmissionsBiomassSustainabilityNotSatisfied]",Submission!$O:$O,Submission!$H:$N,""))</f>
        <v>0</v>
      </c>
      <c r="H1391" s="126" t="str">
        <f>_xlfn.CONCAT(_xlfn.XLOOKUP("[S05_BiomassInstallations][3][EmissionsFossil]",Submission!$O:$O,Submission!$H:$N,""))</f>
        <v>197738.9</v>
      </c>
      <c r="I1391" s="126" t="str">
        <f>_xlfn.CONCAT(_xlfn.XLOOKUP("[S05_BiomassInstallations][3][EnergyZeroRatedBiomass]",Submission!$O:$O,Submission!$H:$N,""))</f>
        <v>24900.6737541</v>
      </c>
      <c r="J1391" s="126" t="str">
        <f>_xlfn.CONCAT(_xlfn.XLOOKUP("[S05_BiomassInstallations][3][EnergyNonZeroRatedBiomass]",Submission!$O:$O,Submission!$H:$N,""))</f>
        <v>0</v>
      </c>
      <c r="K1391" s="126" t="str">
        <f>_xlfn.CONCAT(_xlfn.XLOOKUP("[S05_BiomassInstallations][3][EnergyFossil]",Submission!$O:$O,Submission!$H:$N,""))</f>
        <v>2707.942490092</v>
      </c>
    </row>
    <row r="1392" spans="1:11" ht="44.4" customHeight="1" x14ac:dyDescent="0.3">
      <c r="A1392" s="12"/>
      <c r="C1392" s="125" t="str">
        <f>_xlfn.CONCAT(_xlfn.XLOOKUP("[S05_BiomassInstallations][4][Annex1Activity]",Submission!$O:$O,Submission!$H:$N,""))</f>
        <v>32 - Manufacture of ceramic products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5</v>
      </c>
      <c r="F1392" s="126" t="str">
        <f>_xlfn.CONCAT(_xlfn.XLOOKUP("[S05_BiomassInstallations][4][EmissionsBiomassSustainabilitySatisfied]",Submission!$O:$O,Submission!$H:$N,""))</f>
        <v>7782.4992</v>
      </c>
      <c r="G1392" s="126" t="str">
        <f>_xlfn.CONCAT(_xlfn.XLOOKUP("[S05_BiomassInstallations][4][EmissionsBiomassSustainabilityNotSatisfied]",Submission!$O:$O,Submission!$H:$N,""))</f>
        <v>0</v>
      </c>
      <c r="H1392" s="126" t="str">
        <f>_xlfn.CONCAT(_xlfn.XLOOKUP("[S05_BiomassInstallations][4][EmissionsFossil]",Submission!$O:$O,Submission!$H:$N,""))</f>
        <v/>
      </c>
      <c r="I1392" s="126" t="str">
        <f>_xlfn.CONCAT(_xlfn.XLOOKUP("[S05_BiomassInstallations][4][EnergyZeroRatedBiomass]",Submission!$O:$O,Submission!$H:$N,""))</f>
        <v>77.824992</v>
      </c>
      <c r="J1392" s="126" t="str">
        <f>_xlfn.CONCAT(_xlfn.XLOOKUP("[S05_BiomassInstallations][4][EnergyNonZeroRatedBiomass]",Submission!$O:$O,Submission!$H:$N,""))</f>
        <v>0</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29 - Production of cement clinker in rotary kilns as specified in Annex I of Directive 2003/87/ EC</v>
      </c>
      <c r="D1393" s="128" t="str">
        <f>_xlfn.CONCAT(_xlfn.XLOOKUP("[S05_BiomassInstallations][5][BiomassInstallationCategory]",Submission!$O:$O,Submission!$H:$N,""))</f>
        <v>Category B</v>
      </c>
      <c r="E1393" s="126" t="str">
        <f>_xlfn.CONCAT(_xlfn.XLOOKUP("[S05_BiomassInstallations][5][NumberUsingBiomass]",Submission!$O:$O,Submission!$H:$N,""))</f>
        <v>3</v>
      </c>
      <c r="F1393" s="126" t="str">
        <f>_xlfn.CONCAT(_xlfn.XLOOKUP("[S05_BiomassInstallations][5][EmissionsBiomassSustainabilitySatisfied]",Submission!$O:$O,Submission!$H:$N,""))</f>
        <v>153343.514571313</v>
      </c>
      <c r="G1393" s="126" t="str">
        <f>_xlfn.CONCAT(_xlfn.XLOOKUP("[S05_BiomassInstallations][5][EmissionsBiomassSustainabilityNotSatisfied]",Submission!$O:$O,Submission!$H:$N,""))</f>
        <v>0</v>
      </c>
      <c r="H1393" s="126" t="str">
        <f>_xlfn.CONCAT(_xlfn.XLOOKUP("[S05_BiomassInstallations][5][EmissionsFossil]",Submission!$O:$O,Submission!$H:$N,""))</f>
        <v/>
      </c>
      <c r="I1393" s="126" t="str">
        <f>_xlfn.CONCAT(_xlfn.XLOOKUP("[S05_BiomassInstallations][5][EnergyZeroRatedBiomass]",Submission!$O:$O,Submission!$H:$N,""))</f>
        <v>3881.85497102784</v>
      </c>
      <c r="J1393" s="126" t="str">
        <f>_xlfn.CONCAT(_xlfn.XLOOKUP("[S05_BiomassInstallations][5][EnergyNonZeroRatedBiomass]",Submission!$O:$O,Submission!$H:$N,""))</f>
        <v>0</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29 - Production of cement clinker in rotary kilns as specified in Annex I of Directive 2003/87/ EC</v>
      </c>
      <c r="D1394" s="128" t="str">
        <f>_xlfn.CONCAT(_xlfn.XLOOKUP("[S05_BiomassInstallations][6][BiomassInstallationCategory]",Submission!$O:$O,Submission!$H:$N,""))</f>
        <v>Category C</v>
      </c>
      <c r="E1394" s="126" t="str">
        <f>_xlfn.CONCAT(_xlfn.XLOOKUP("[S05_BiomassInstallations][6][NumberUsingBiomass]",Submission!$O:$O,Submission!$H:$N,""))</f>
        <v>1</v>
      </c>
      <c r="F1394" s="126" t="str">
        <f>_xlfn.CONCAT(_xlfn.XLOOKUP("[S05_BiomassInstallations][6][EmissionsBiomassSustainabilitySatisfied]",Submission!$O:$O,Submission!$H:$N,""))</f>
        <v>75203.686836743</v>
      </c>
      <c r="G1394" s="126" t="str">
        <f>_xlfn.CONCAT(_xlfn.XLOOKUP("[S05_BiomassInstallations][6][EmissionsBiomassSustainabilityNotSatisfied]",Submission!$O:$O,Submission!$H:$N,""))</f>
        <v>0</v>
      </c>
      <c r="H1394" s="126" t="str">
        <f>_xlfn.CONCAT(_xlfn.XLOOKUP("[S05_BiomassInstallations][6][EmissionsFossil]",Submission!$O:$O,Submission!$H:$N,""))</f>
        <v/>
      </c>
      <c r="I1394" s="126" t="str">
        <f>_xlfn.CONCAT(_xlfn.XLOOKUP("[S05_BiomassInstallations][6][EnergyZeroRatedBiomass]",Submission!$O:$O,Submission!$H:$N,""))</f>
        <v>1906.01902580584</v>
      </c>
      <c r="J1394" s="126" t="str">
        <f>_xlfn.CONCAT(_xlfn.XLOOKUP("[S05_BiomassInstallations][6][EnergyNonZeroRatedBiomass]",Submission!$O:$O,Submission!$H:$N,""))</f>
        <v>0</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xml:space="preserve">36 - Production of paper or cardboard as specified in Annex I of Directive 2003/87/EC </v>
      </c>
      <c r="D1395" s="128" t="str">
        <f>_xlfn.CONCAT(_xlfn.XLOOKUP("[S05_BiomassInstallations][7][BiomassInstallationCategory]",Submission!$O:$O,Submission!$H:$N,""))</f>
        <v>Category A</v>
      </c>
      <c r="E1395" s="126" t="str">
        <f>_xlfn.CONCAT(_xlfn.XLOOKUP("[S05_BiomassInstallations][7][NumberUsingBiomass]",Submission!$O:$O,Submission!$H:$N,""))</f>
        <v>1</v>
      </c>
      <c r="F1395" s="126" t="str">
        <f>_xlfn.CONCAT(_xlfn.XLOOKUP("[S05_BiomassInstallations][7][EmissionsBiomassSustainabilitySatisfied]",Submission!$O:$O,Submission!$H:$N,""))</f>
        <v>372772.536864</v>
      </c>
      <c r="G1395" s="126" t="str">
        <f>_xlfn.CONCAT(_xlfn.XLOOKUP("[S05_BiomassInstallations][7][EmissionsBiomassSustainabilityNotSatisfied]",Submission!$O:$O,Submission!$H:$N,""))</f>
        <v>0</v>
      </c>
      <c r="H1395" s="126" t="str">
        <f>_xlfn.CONCAT(_xlfn.XLOOKUP("[S05_BiomassInstallations][7][EmissionsFossil]",Submission!$O:$O,Submission!$H:$N,""))</f>
        <v/>
      </c>
      <c r="I1395" s="126" t="str">
        <f>_xlfn.CONCAT(_xlfn.XLOOKUP("[S05_BiomassInstallations][7][EnergyZeroRatedBiomass]",Submission!$O:$O,Submission!$H:$N,""))</f>
        <v>3328.326222</v>
      </c>
      <c r="J1395" s="126" t="str">
        <f>_xlfn.CONCAT(_xlfn.XLOOKUP("[S05_BiomassInstallations][7][EnergyNonZeroRatedBiomass]",Submission!$O:$O,Submission!$H:$N,""))</f>
        <v>0</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xml:space="preserve">38 - Production of nitric acid </v>
      </c>
      <c r="D1396" s="128" t="str">
        <f>_xlfn.CONCAT(_xlfn.XLOOKUP("[S05_BiomassInstallations][8][BiomassInstallationCategory]",Submission!$O:$O,Submission!$H:$N,""))</f>
        <v>Category A</v>
      </c>
      <c r="E1396" s="126" t="str">
        <f>_xlfn.CONCAT(_xlfn.XLOOKUP("[S05_BiomassInstallations][8][NumberUsingBiomass]",Submission!$O:$O,Submission!$H:$N,""))</f>
        <v>1</v>
      </c>
      <c r="F1396" s="126" t="str">
        <f>_xlfn.CONCAT(_xlfn.XLOOKUP("[S05_BiomassInstallations][8][EmissionsBiomassSustainabilitySatisfied]",Submission!$O:$O,Submission!$H:$N,""))</f>
        <v>22865.51748</v>
      </c>
      <c r="G1396" s="126" t="str">
        <f>_xlfn.CONCAT(_xlfn.XLOOKUP("[S05_BiomassInstallations][8][EmissionsBiomassSustainabilityNotSatisfied]",Submission!$O:$O,Submission!$H:$N,""))</f>
        <v>0</v>
      </c>
      <c r="H1396" s="126" t="str">
        <f>_xlfn.CONCAT(_xlfn.XLOOKUP("[S05_BiomassInstallations][8][EmissionsFossil]",Submission!$O:$O,Submission!$H:$N,""))</f>
        <v/>
      </c>
      <c r="I1396" s="126" t="str">
        <f>_xlfn.CONCAT(_xlfn.XLOOKUP("[S05_BiomassInstallations][8][EnergyZeroRatedBiomass]",Submission!$O:$O,Submission!$H:$N,""))</f>
        <v>228.6551748</v>
      </c>
      <c r="J1396" s="126" t="str">
        <f>_xlfn.CONCAT(_xlfn.XLOOKUP("[S05_BiomassInstallations][8][EnergyNonZeroRatedBiomass]",Submission!$O:$O,Submission!$H:$N,""))</f>
        <v>0</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44 - Production of soda ash (Na2CO3) and sodium bicarbonate (NaHCO3) as specified in Annex I of Directive 2003/87/EC</v>
      </c>
      <c r="D1397" s="128" t="str">
        <f>_xlfn.CONCAT(_xlfn.XLOOKUP("[S05_BiomassInstallations][9][BiomassInstallationCategory]",Submission!$O:$O,Submission!$H:$N,""))</f>
        <v>Category C</v>
      </c>
      <c r="E1397" s="126" t="str">
        <f>_xlfn.CONCAT(_xlfn.XLOOKUP("[S05_BiomassInstallations][9][NumberUsingBiomass]",Submission!$O:$O,Submission!$H:$N,""))</f>
        <v>1</v>
      </c>
      <c r="F1397" s="126" t="str">
        <f>_xlfn.CONCAT(_xlfn.XLOOKUP("[S05_BiomassInstallations][9][EmissionsBiomassSustainabilitySatisfied]",Submission!$O:$O,Submission!$H:$N,""))</f>
        <v>15676.14183408</v>
      </c>
      <c r="G1397" s="126" t="str">
        <f>_xlfn.CONCAT(_xlfn.XLOOKUP("[S05_BiomassInstallations][9][EmissionsBiomassSustainabilityNotSatisfied]",Submission!$O:$O,Submission!$H:$N,""))</f>
        <v>0</v>
      </c>
      <c r="H1397" s="126" t="str">
        <f>_xlfn.CONCAT(_xlfn.XLOOKUP("[S05_BiomassInstallations][9][EmissionsFossil]",Submission!$O:$O,Submission!$H:$N,""))</f>
        <v/>
      </c>
      <c r="I1397" s="126" t="str">
        <f>_xlfn.CONCAT(_xlfn.XLOOKUP("[S05_BiomassInstallations][9][EnergyZeroRatedBiomass]",Submission!$O:$O,Submission!$H:$N,""))</f>
        <v>157.359384</v>
      </c>
      <c r="J1397" s="126" t="str">
        <f>_xlfn.CONCAT(_xlfn.XLOOKUP("[S05_BiomassInstallations][9][EnergyNonZeroRatedBiomass]",Submission!$O:$O,Submission!$H:$N,""))</f>
        <v>0</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139853.7</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4</v>
      </c>
      <c r="F1463" s="410"/>
      <c r="G1463" s="413" t="str">
        <f>_xlfn.CONCAT(_xlfn.XLOOKUP("[S05_AircraftMethodFuelConsumption][2][SmallEmittersShare]",Submission!$O:$O,Submission!$H:$N,""))</f>
        <v>0.25</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120858</v>
      </c>
      <c r="H1472" s="379"/>
      <c r="I1472" s="379"/>
    </row>
    <row r="1473" spans="1:10" ht="28.95" customHeight="1" x14ac:dyDescent="0.3">
      <c r="C1473" s="382" t="s">
        <v>957</v>
      </c>
      <c r="D1473" s="382"/>
      <c r="E1473" s="382"/>
      <c r="F1473" s="382"/>
      <c r="G1473" s="379" t="str">
        <f>_xlfn.CONCAT(_xlfn.XLOOKUP("[S05_TotalFlightEmissions][2][TotalFlightEmissions]",Submission!$O:$O,Submission!$H:$N,""))</f>
        <v>18832</v>
      </c>
      <c r="H1473" s="379"/>
      <c r="I1473" s="379"/>
    </row>
    <row r="1474" spans="1:10" ht="28.95" customHeight="1" x14ac:dyDescent="0.3">
      <c r="C1474" s="382" t="s">
        <v>958</v>
      </c>
      <c r="D1474" s="382"/>
      <c r="E1474" s="382"/>
      <c r="F1474" s="382"/>
      <c r="G1474" s="379" t="str">
        <f>_xlfn.CONCAT(_xlfn.XLOOKUP("[S05_TotalFlightEmissions][3][TotalFlightEmissions]",Submission!$O:$O,Submission!$H:$N,""))</f>
        <v>138218</v>
      </c>
      <c r="H1474" s="379"/>
      <c r="I1474" s="379"/>
    </row>
    <row r="1475" spans="1:10" ht="28.95" customHeight="1" x14ac:dyDescent="0.3">
      <c r="C1475" s="382" t="s">
        <v>959</v>
      </c>
      <c r="D1475" s="382"/>
      <c r="E1475" s="382"/>
      <c r="F1475" s="382"/>
      <c r="G1475" s="379" t="str">
        <f>_xlfn.CONCAT(_xlfn.XLOOKUP("[S05_TotalFlightEmissions][4][TotalFlightEmissions]",Submission!$O:$O,Submission!$H:$N,""))</f>
        <v/>
      </c>
      <c r="H1475" s="379"/>
      <c r="I1475" s="379"/>
    </row>
    <row r="1476" spans="1:10" ht="28.95" customHeight="1" x14ac:dyDescent="0.3">
      <c r="C1476" s="382" t="s">
        <v>960</v>
      </c>
      <c r="D1476" s="382"/>
      <c r="E1476" s="382"/>
      <c r="F1476" s="382"/>
      <c r="G1476" s="379" t="str">
        <f>_xlfn.CONCAT(_xlfn.XLOOKUP("[S05_TotalFlightEmissions][5][TotalFlightEmissions]",Submission!$O:$O,Submission!$H:$N,""))</f>
        <v>1474</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2</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
      </c>
      <c r="F1486" s="407"/>
      <c r="G1486" s="408" t="str">
        <f>_xlfn.CONCAT(_xlfn.XLOOKUP("[EmissionsBiofuelsSustainabilityNotSatisfied][0][EmissionsBiofuelsSustainabilityNotSatisfied]",Submission!$O:$O,Submission!$H:$N,""))</f>
        <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3</v>
      </c>
      <c r="G8" s="119"/>
      <c r="H8" s="105" t="str">
        <f>_xlfn.CONCAT(_xlfn.XLOOKUP("[S06_TotalVerifiers][1][CountVerifiersAviation]",Submission!$O:$O,Submission!$H:$N,""))</f>
        <v/>
      </c>
      <c r="I8" s="119"/>
    </row>
    <row r="9" spans="1:9" s="58" customFormat="1" ht="33.6" customHeight="1" x14ac:dyDescent="0.3">
      <c r="A9" s="75"/>
      <c r="C9" s="448" t="s">
        <v>991</v>
      </c>
      <c r="D9" s="449"/>
      <c r="E9" s="450"/>
      <c r="F9" s="105" t="str">
        <f>_xlfn.CONCAT(_xlfn.XLOOKUP("[S06_TotalVerifiers][2][CountVerifiersInstallations]",Submission!$O:$O,Submission!$H:$N,""))</f>
        <v>3</v>
      </c>
      <c r="G9" s="119"/>
      <c r="H9" s="105" t="str">
        <f>_xlfn.CONCAT(_xlfn.XLOOKUP("[S06_TotalVerifiers][2][CountVerifiersAviation]",Submission!$O:$O,Submission!$H:$N,""))</f>
        <v/>
      </c>
      <c r="I9" s="119"/>
    </row>
    <row r="10" spans="1:9" s="58" customFormat="1" ht="33.6" customHeight="1" x14ac:dyDescent="0.3">
      <c r="A10" s="75"/>
      <c r="C10" s="448" t="s">
        <v>992</v>
      </c>
      <c r="D10" s="449"/>
      <c r="E10" s="450"/>
      <c r="F10" s="105" t="str">
        <f>_xlfn.CONCAT(_xlfn.XLOOKUP("[S06_TotalVerifiers][3][CountVerifiersInstallations]",Submission!$O:$O,Submission!$H:$N,""))</f>
        <v>4</v>
      </c>
      <c r="G10" s="72" t="str">
        <f>_xlfn.CONCAT(_xlfn.XLOOKUP("[S06_TotalVerifiers][3][MSVerifiersInstallations]",Submission!$O:$O,Submission!$H:$N,""))</f>
        <v>GR, CZ</v>
      </c>
      <c r="H10" s="105" t="str">
        <f>_xlfn.CONCAT(_xlfn.XLOOKUP("[S06_TotalVerifiers][3][CountVerifiersAviation]",Submission!$O:$O,Submission!$H:$N,""))</f>
        <v>1</v>
      </c>
      <c r="I10" s="47" t="str">
        <f>_xlfn.CONCAT(_xlfn.XLOOKUP("[S06_TotalVerifiers][3][MSVerifiersAviation]",Submission!$O:$O,Submission!$H:$N,""))</f>
        <v>CZ</v>
      </c>
    </row>
    <row r="11" spans="1:9" s="58" customFormat="1" ht="33.6" customHeight="1" x14ac:dyDescent="0.3">
      <c r="A11" s="75"/>
      <c r="C11" s="451" t="s">
        <v>993</v>
      </c>
      <c r="D11" s="451"/>
      <c r="E11" s="451"/>
      <c r="F11" s="105" t="str">
        <f>_xlfn.CONCAT(_xlfn.XLOOKUP("[S06_TotalVerifiers][4][CountVerifiersInstallations]",Submission!$O:$O,Submission!$H:$N,""))</f>
        <v>4</v>
      </c>
      <c r="G11" s="72"/>
      <c r="H11" s="105" t="str">
        <f>_xlfn.CONCAT(_xlfn.XLOOKUP("[S06_TotalVerifiers][4][CountVerifiersAviation]",Submission!$O:$O,Submission!$H:$N,""))</f>
        <v>1</v>
      </c>
      <c r="I11" s="47" t="str">
        <f>_xlfn.CONCAT(_xlfn.XLOOKUP("[S06_TotalVerifiers][4][MSVerifiersAviation]",Submission!$O:$O,Submission!$H:$N,""))</f>
        <v>CZ</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3</v>
      </c>
      <c r="I17" s="132" t="str">
        <f>_xlfn.CONCAT(_xlfn.XLOOKUP("[S06_AccredCertVerifiersAnnexI][1][NumberCertified]",Submission!$O:$O,Submission!$H:$N,""))</f>
        <v>3</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3</v>
      </c>
      <c r="I18" s="132" t="str">
        <f>_xlfn.CONCAT(_xlfn.XLOOKUP("[S06_AccredCertVerifiersAnnexI][2][NumberCertified]",Submission!$O:$O,Submission!$H:$N,""))</f>
        <v>3</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3</v>
      </c>
      <c r="I19" s="132" t="str">
        <f>_xlfn.CONCAT(_xlfn.XLOOKUP("[S06_AccredCertVerifiersAnnexI][3][NumberCertified]",Submission!$O:$O,Submission!$H:$N,""))</f>
        <v>3</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3</v>
      </c>
      <c r="I20" s="132" t="str">
        <f>_xlfn.CONCAT(_xlfn.XLOOKUP("[S06_AccredCertVerifiersAnnexI][4][NumberCertified]",Submission!$O:$O,Submission!$H:$N,""))</f>
        <v>3</v>
      </c>
    </row>
    <row r="21" spans="2:9" ht="27.6" customHeight="1" x14ac:dyDescent="0.3">
      <c r="B21" s="20"/>
      <c r="C21" s="419" t="str">
        <f>_xlfn.CONCAT(_xlfn.XLOOKUP("[S06_AccredCertVerifiersAnnexI][5][AccredCertScope]",Submission!$O:$O,Submission!$H:$N,""))</f>
        <v xml:space="preserve">3 - Metal ore (including sulphide ore) roasting or sintering, including pelletisation </v>
      </c>
      <c r="D21" s="420"/>
      <c r="E21" s="420"/>
      <c r="F21" s="420"/>
      <c r="G21" s="421"/>
      <c r="H21" s="132" t="str">
        <f>_xlfn.CONCAT(_xlfn.XLOOKUP("[S06_AccredCertVerifiersAnnexI][5][NumberAccredited]",Submission!$O:$O,Submission!$H:$N,""))</f>
        <v>3</v>
      </c>
      <c r="I21" s="132" t="str">
        <f>_xlfn.CONCAT(_xlfn.XLOOKUP("[S06_AccredCertVerifiersAnnexI][5][NumberCertified]",Submission!$O:$O,Submission!$H:$N,""))</f>
        <v>3</v>
      </c>
    </row>
    <row r="22" spans="2:9" ht="27.6" customHeight="1" x14ac:dyDescent="0.3">
      <c r="B22" s="20"/>
      <c r="C22" s="419" t="str">
        <f>_xlfn.CONCAT(_xlfn.XLOOKUP("[S06_AccredCertVerifiersAnnexI][6][AccredCertScope]",Submission!$O:$O,Submission!$H:$N,""))</f>
        <v>3 - Production of pig iron or steel (primary or secondary fusion) including continuous casting</v>
      </c>
      <c r="D22" s="420"/>
      <c r="E22" s="420"/>
      <c r="F22" s="420"/>
      <c r="G22" s="421"/>
      <c r="H22" s="132" t="str">
        <f>_xlfn.CONCAT(_xlfn.XLOOKUP("[S06_AccredCertVerifiersAnnexI][6][NumberAccredited]",Submission!$O:$O,Submission!$H:$N,""))</f>
        <v>3</v>
      </c>
      <c r="I22" s="132" t="str">
        <f>_xlfn.CONCAT(_xlfn.XLOOKUP("[S06_AccredCertVerifiersAnnexI][6][NumberCertified]",Submission!$O:$O,Submission!$H:$N,""))</f>
        <v>3</v>
      </c>
    </row>
    <row r="23" spans="2:9" ht="27.6" customHeight="1" x14ac:dyDescent="0.3">
      <c r="B23" s="20"/>
      <c r="C23" s="419" t="str">
        <f>_xlfn.CONCAT(_xlfn.XLOOKUP("[S06_AccredCertVerifiersAnnexI][7][AccredCertScope]",Submission!$O:$O,Submission!$H:$N,""))</f>
        <v xml:space="preserve">4 - Production or processing of ferrous metals (including ferro-alloys) </v>
      </c>
      <c r="D23" s="420"/>
      <c r="E23" s="420"/>
      <c r="F23" s="420"/>
      <c r="G23" s="421"/>
      <c r="H23" s="132" t="str">
        <f>_xlfn.CONCAT(_xlfn.XLOOKUP("[S06_AccredCertVerifiersAnnexI][7][NumberAccredited]",Submission!$O:$O,Submission!$H:$N,""))</f>
        <v>2</v>
      </c>
      <c r="I23" s="132" t="str">
        <f>_xlfn.CONCAT(_xlfn.XLOOKUP("[S06_AccredCertVerifiersAnnexI][7][NumberCertified]",Submission!$O:$O,Submission!$H:$N,""))</f>
        <v>2</v>
      </c>
    </row>
    <row r="24" spans="2:9" ht="27.6" customHeight="1" x14ac:dyDescent="0.3">
      <c r="B24" s="20"/>
      <c r="C24" s="419" t="str">
        <f>_xlfn.CONCAT(_xlfn.XLOOKUP("[S06_AccredCertVerifiersAnnexI][8][AccredCertScope]",Submission!$O:$O,Submission!$H:$N,""))</f>
        <v xml:space="preserve">4 - Production of secondary aluminium </v>
      </c>
      <c r="D24" s="420"/>
      <c r="E24" s="420"/>
      <c r="F24" s="420"/>
      <c r="G24" s="421"/>
      <c r="H24" s="132" t="str">
        <f>_xlfn.CONCAT(_xlfn.XLOOKUP("[S06_AccredCertVerifiersAnnexI][8][NumberAccredited]",Submission!$O:$O,Submission!$H:$N,""))</f>
        <v>1</v>
      </c>
      <c r="I24" s="132" t="str">
        <f>_xlfn.CONCAT(_xlfn.XLOOKUP("[S06_AccredCertVerifiersAnnexI][8][NumberCertified]",Submission!$O:$O,Submission!$H:$N,""))</f>
        <v>1</v>
      </c>
    </row>
    <row r="25" spans="2:9" ht="27.6" customHeight="1" x14ac:dyDescent="0.3">
      <c r="B25" s="20"/>
      <c r="C25" s="419" t="str">
        <f>_xlfn.CONCAT(_xlfn.XLOOKUP("[S06_AccredCertVerifiersAnnexI][9][AccredCertScope]",Submission!$O:$O,Submission!$H:$N,""))</f>
        <v xml:space="preserve">4 - Production or processing of non-ferrous metals, including production of alloys </v>
      </c>
      <c r="D25" s="420"/>
      <c r="E25" s="420"/>
      <c r="F25" s="420"/>
      <c r="G25" s="421"/>
      <c r="H25" s="132" t="str">
        <f>_xlfn.CONCAT(_xlfn.XLOOKUP("[S06_AccredCertVerifiersAnnexI][9][NumberAccredited]",Submission!$O:$O,Submission!$H:$N,""))</f>
        <v>2</v>
      </c>
      <c r="I25" s="132" t="str">
        <f>_xlfn.CONCAT(_xlfn.XLOOKUP("[S06_AccredCertVerifiersAnnexI][9][NumberCertified]",Submission!$O:$O,Submission!$H:$N,""))</f>
        <v>2</v>
      </c>
    </row>
    <row r="26" spans="2:9" ht="27.6" customHeight="1" x14ac:dyDescent="0.3">
      <c r="B26" s="20"/>
      <c r="C26" s="419" t="str">
        <f>_xlfn.CONCAT(_xlfn.XLOOKUP("[S06_AccredCertVerifiersAnnexI][10][AccredCertScope]",Submission!$O:$O,Submission!$H:$N,""))</f>
        <v xml:space="preserve">6 - Production of cement clinker </v>
      </c>
      <c r="D26" s="420"/>
      <c r="E26" s="420"/>
      <c r="F26" s="420"/>
      <c r="G26" s="421"/>
      <c r="H26" s="132" t="str">
        <f>_xlfn.CONCAT(_xlfn.XLOOKUP("[S06_AccredCertVerifiersAnnexI][10][NumberAccredited]",Submission!$O:$O,Submission!$H:$N,""))</f>
        <v>3</v>
      </c>
      <c r="I26" s="132" t="str">
        <f>_xlfn.CONCAT(_xlfn.XLOOKUP("[S06_AccredCertVerifiersAnnexI][10][NumberCertified]",Submission!$O:$O,Submission!$H:$N,""))</f>
        <v>3</v>
      </c>
    </row>
    <row r="27" spans="2:9" ht="27.6" customHeight="1" x14ac:dyDescent="0.3">
      <c r="B27" s="20"/>
      <c r="C27" s="419" t="str">
        <f>_xlfn.CONCAT(_xlfn.XLOOKUP("[S06_AccredCertVerifiersAnnexI][11][AccredCertScope]",Submission!$O:$O,Submission!$H:$N,""))</f>
        <v xml:space="preserve">6 - Production of lime or calcination of dolomite or magnesite </v>
      </c>
      <c r="D27" s="420"/>
      <c r="E27" s="420"/>
      <c r="F27" s="420"/>
      <c r="G27" s="421"/>
      <c r="H27" s="132" t="str">
        <f>_xlfn.CONCAT(_xlfn.XLOOKUP("[S06_AccredCertVerifiersAnnexI][11][NumberAccredited]",Submission!$O:$O,Submission!$H:$N,""))</f>
        <v>3</v>
      </c>
      <c r="I27" s="132" t="str">
        <f>_xlfn.CONCAT(_xlfn.XLOOKUP("[S06_AccredCertVerifiersAnnexI][11][NumberCertified]",Submission!$O:$O,Submission!$H:$N,""))</f>
        <v>3</v>
      </c>
    </row>
    <row r="28" spans="2:9" ht="27.6" customHeight="1" x14ac:dyDescent="0.3">
      <c r="B28" s="20"/>
      <c r="C28" s="419" t="str">
        <f>_xlfn.CONCAT(_xlfn.XLOOKUP("[S06_AccredCertVerifiersAnnexI][12][AccredCertScope]",Submission!$O:$O,Submission!$H:$N,""))</f>
        <v xml:space="preserve">6 - Manufacture of glass including glass fibre </v>
      </c>
      <c r="D28" s="420"/>
      <c r="E28" s="420"/>
      <c r="F28" s="420"/>
      <c r="G28" s="421"/>
      <c r="H28" s="132" t="str">
        <f>_xlfn.CONCAT(_xlfn.XLOOKUP("[S06_AccredCertVerifiersAnnexI][12][NumberAccredited]",Submission!$O:$O,Submission!$H:$N,""))</f>
        <v>3</v>
      </c>
      <c r="I28" s="132" t="str">
        <f>_xlfn.CONCAT(_xlfn.XLOOKUP("[S06_AccredCertVerifiersAnnexI][12][NumberCertified]",Submission!$O:$O,Submission!$H:$N,""))</f>
        <v>3</v>
      </c>
    </row>
    <row r="29" spans="2:9" ht="27.6" hidden="1" customHeight="1" outlineLevel="1" x14ac:dyDescent="0.3">
      <c r="B29" s="20"/>
      <c r="C29" s="419" t="str">
        <f>_xlfn.CONCAT(_xlfn.XLOOKUP("[S06_AccredCertVerifiersAnnexI][13][AccredCertScope]",Submission!$O:$O,Submission!$H:$N,""))</f>
        <v xml:space="preserve">6 - Manufacture of ceramic products by firing </v>
      </c>
      <c r="D29" s="420"/>
      <c r="E29" s="420"/>
      <c r="F29" s="420"/>
      <c r="G29" s="421"/>
      <c r="H29" s="132" t="str">
        <f>_xlfn.CONCAT(_xlfn.XLOOKUP("[S06_AccredCertVerifiersAnnexI][13][NumberAccredited]",Submission!$O:$O,Submission!$H:$N,""))</f>
        <v>3</v>
      </c>
      <c r="I29" s="132" t="str">
        <f>_xlfn.CONCAT(_xlfn.XLOOKUP("[S06_AccredCertVerifiersAnnexI][13][NumberCertified]",Submission!$O:$O,Submission!$H:$N,""))</f>
        <v>3</v>
      </c>
    </row>
    <row r="30" spans="2:9" ht="27.6" hidden="1" customHeight="1" outlineLevel="1" x14ac:dyDescent="0.3">
      <c r="B30" s="20"/>
      <c r="C30" s="419" t="str">
        <f>_xlfn.CONCAT(_xlfn.XLOOKUP("[S06_AccredCertVerifiersAnnexI][14][AccredCertScope]",Submission!$O:$O,Submission!$H:$N,""))</f>
        <v xml:space="preserve">6 - Manufacture of mineral wool insulation material </v>
      </c>
      <c r="D30" s="420"/>
      <c r="E30" s="420"/>
      <c r="F30" s="420"/>
      <c r="G30" s="421"/>
      <c r="H30" s="132" t="str">
        <f>_xlfn.CONCAT(_xlfn.XLOOKUP("[S06_AccredCertVerifiersAnnexI][14][NumberAccredited]",Submission!$O:$O,Submission!$H:$N,""))</f>
        <v>3</v>
      </c>
      <c r="I30" s="132" t="str">
        <f>_xlfn.CONCAT(_xlfn.XLOOKUP("[S06_AccredCertVerifiersAnnexI][14][NumberCertified]",Submission!$O:$O,Submission!$H:$N,""))</f>
        <v>3</v>
      </c>
    </row>
    <row r="31" spans="2:9" ht="27.6" hidden="1" customHeight="1" outlineLevel="1" x14ac:dyDescent="0.3">
      <c r="B31" s="20"/>
      <c r="C31" s="419" t="str">
        <f>_xlfn.CONCAT(_xlfn.XLOOKUP("[S06_AccredCertVerifiersAnnexI][15][AccredCertScope]",Submission!$O:$O,Submission!$H:$N,""))</f>
        <v>6 - Drying or calcination of gypsum or production of plaster boards and other gypsum products</v>
      </c>
      <c r="D31" s="420"/>
      <c r="E31" s="420"/>
      <c r="F31" s="420"/>
      <c r="G31" s="421"/>
      <c r="H31" s="132" t="str">
        <f>_xlfn.CONCAT(_xlfn.XLOOKUP("[S06_AccredCertVerifiersAnnexI][15][NumberAccredited]",Submission!$O:$O,Submission!$H:$N,""))</f>
        <v>3</v>
      </c>
      <c r="I31" s="132" t="str">
        <f>_xlfn.CONCAT(_xlfn.XLOOKUP("[S06_AccredCertVerifiersAnnexI][15][NumberCertified]",Submission!$O:$O,Submission!$H:$N,""))</f>
        <v>3</v>
      </c>
    </row>
    <row r="32" spans="2:9" ht="27.6" hidden="1" customHeight="1" outlineLevel="1" x14ac:dyDescent="0.3">
      <c r="B32" s="20"/>
      <c r="C32" s="419" t="str">
        <f>_xlfn.CONCAT(_xlfn.XLOOKUP("[S06_AccredCertVerifiersAnnexI][16][AccredCertScope]",Submission!$O:$O,Submission!$H:$N,""))</f>
        <v xml:space="preserve">7 - Production of pulp from timber or other fibrous materials </v>
      </c>
      <c r="D32" s="420"/>
      <c r="E32" s="420"/>
      <c r="F32" s="420"/>
      <c r="G32" s="421"/>
      <c r="H32" s="132" t="str">
        <f>_xlfn.CONCAT(_xlfn.XLOOKUP("[S06_AccredCertVerifiersAnnexI][16][NumberAccredited]",Submission!$O:$O,Submission!$H:$N,""))</f>
        <v>2</v>
      </c>
      <c r="I32" s="132" t="str">
        <f>_xlfn.CONCAT(_xlfn.XLOOKUP("[S06_AccredCertVerifiersAnnexI][16][NumberCertified]",Submission!$O:$O,Submission!$H:$N,""))</f>
        <v>2</v>
      </c>
    </row>
    <row r="33" spans="2:9" ht="27.6" hidden="1" customHeight="1" outlineLevel="1" x14ac:dyDescent="0.3">
      <c r="B33" s="20"/>
      <c r="C33" s="419" t="str">
        <f>_xlfn.CONCAT(_xlfn.XLOOKUP("[S06_AccredCertVerifiersAnnexI][17][AccredCertScope]",Submission!$O:$O,Submission!$H:$N,""))</f>
        <v>7 - Production of paper or cardboard</v>
      </c>
      <c r="D33" s="420"/>
      <c r="E33" s="420"/>
      <c r="F33" s="420"/>
      <c r="G33" s="421"/>
      <c r="H33" s="132" t="str">
        <f>_xlfn.CONCAT(_xlfn.XLOOKUP("[S06_AccredCertVerifiersAnnexI][17][NumberAccredited]",Submission!$O:$O,Submission!$H:$N,""))</f>
        <v>2</v>
      </c>
      <c r="I33" s="132" t="str">
        <f>_xlfn.CONCAT(_xlfn.XLOOKUP("[S06_AccredCertVerifiersAnnexI][17][NumberCertified]",Submission!$O:$O,Submission!$H:$N,""))</f>
        <v>2</v>
      </c>
    </row>
    <row r="34" spans="2:9" ht="27.6" hidden="1" customHeight="1" outlineLevel="1" x14ac:dyDescent="0.3">
      <c r="B34" s="20"/>
      <c r="C34" s="419" t="str">
        <f>_xlfn.CONCAT(_xlfn.XLOOKUP("[S06_AccredCertVerifiersAnnexI][18][AccredCertScope]",Submission!$O:$O,Submission!$H:$N,""))</f>
        <v xml:space="preserve">8 - Production of carbon black </v>
      </c>
      <c r="D34" s="420"/>
      <c r="E34" s="420"/>
      <c r="F34" s="420"/>
      <c r="G34" s="421"/>
      <c r="H34" s="132" t="str">
        <f>_xlfn.CONCAT(_xlfn.XLOOKUP("[S06_AccredCertVerifiersAnnexI][18][NumberAccredited]",Submission!$O:$O,Submission!$H:$N,""))</f>
        <v>2</v>
      </c>
      <c r="I34" s="132" t="str">
        <f>_xlfn.CONCAT(_xlfn.XLOOKUP("[S06_AccredCertVerifiersAnnexI][18][NumberCertified]",Submission!$O:$O,Submission!$H:$N,""))</f>
        <v>2</v>
      </c>
    </row>
    <row r="35" spans="2:9" ht="27.6" hidden="1" customHeight="1" outlineLevel="1" x14ac:dyDescent="0.3">
      <c r="B35" s="20"/>
      <c r="C35" s="419" t="str">
        <f>_xlfn.CONCAT(_xlfn.XLOOKUP("[S06_AccredCertVerifiersAnnexI][19][AccredCertScope]",Submission!$O:$O,Submission!$H:$N,""))</f>
        <v xml:space="preserve">8 - Production of ammonia </v>
      </c>
      <c r="D35" s="420"/>
      <c r="E35" s="420"/>
      <c r="F35" s="420"/>
      <c r="G35" s="421"/>
      <c r="H35" s="132" t="str">
        <f>_xlfn.CONCAT(_xlfn.XLOOKUP("[S06_AccredCertVerifiersAnnexI][19][NumberAccredited]",Submission!$O:$O,Submission!$H:$N,""))</f>
        <v>2</v>
      </c>
      <c r="I35" s="132" t="str">
        <f>_xlfn.CONCAT(_xlfn.XLOOKUP("[S06_AccredCertVerifiersAnnexI][19][NumberCertified]",Submission!$O:$O,Submission!$H:$N,""))</f>
        <v>2</v>
      </c>
    </row>
    <row r="36" spans="2:9" ht="27.6" hidden="1" customHeight="1" outlineLevel="1" x14ac:dyDescent="0.3">
      <c r="B36" s="20"/>
      <c r="C36" s="419" t="str">
        <f>_xlfn.CONCAT(_xlfn.XLOOKUP("[S06_AccredCertVerifiersAnnexI][20][AccredCertScope]",Submission!$O:$O,Submission!$H:$N,""))</f>
        <v xml:space="preserve">8 - Production of bulk organic chemicals by cracking, reforming, partial or full oxidation or by similar processes </v>
      </c>
      <c r="D36" s="420"/>
      <c r="E36" s="420"/>
      <c r="F36" s="420"/>
      <c r="G36" s="421"/>
      <c r="H36" s="132" t="str">
        <f>_xlfn.CONCAT(_xlfn.XLOOKUP("[S06_AccredCertVerifiersAnnexI][20][NumberAccredited]",Submission!$O:$O,Submission!$H:$N,""))</f>
        <v>2</v>
      </c>
      <c r="I36" s="132" t="str">
        <f>_xlfn.CONCAT(_xlfn.XLOOKUP("[S06_AccredCertVerifiersAnnexI][20][NumberCertified]",Submission!$O:$O,Submission!$H:$N,""))</f>
        <v>2</v>
      </c>
    </row>
    <row r="37" spans="2:9" ht="27.6" hidden="1" customHeight="1" outlineLevel="1" x14ac:dyDescent="0.3">
      <c r="B37" s="20"/>
      <c r="C37" s="419" t="str">
        <f>_xlfn.CONCAT(_xlfn.XLOOKUP("[S06_AccredCertVerifiersAnnexI][21][AccredCertScope]",Submission!$O:$O,Submission!$H:$N,""))</f>
        <v xml:space="preserve">8 - Production of hydrogen (H2) and synthesis gas by reforming or partial oxidation </v>
      </c>
      <c r="D37" s="420"/>
      <c r="E37" s="420"/>
      <c r="F37" s="420"/>
      <c r="G37" s="421"/>
      <c r="H37" s="132" t="str">
        <f>_xlfn.CONCAT(_xlfn.XLOOKUP("[S06_AccredCertVerifiersAnnexI][21][NumberAccredited]",Submission!$O:$O,Submission!$H:$N,""))</f>
        <v>2</v>
      </c>
      <c r="I37" s="132" t="str">
        <f>_xlfn.CONCAT(_xlfn.XLOOKUP("[S06_AccredCertVerifiersAnnexI][21][NumberCertified]",Submission!$O:$O,Submission!$H:$N,""))</f>
        <v>2</v>
      </c>
    </row>
    <row r="38" spans="2:9" ht="27.6" hidden="1" customHeight="1" outlineLevel="1" x14ac:dyDescent="0.3">
      <c r="B38" s="20"/>
      <c r="C38" s="419" t="str">
        <f>_xlfn.CONCAT(_xlfn.XLOOKUP("[S06_AccredCertVerifiersAnnexI][22][AccredCertScope]",Submission!$O:$O,Submission!$H:$N,""))</f>
        <v>8 - Production of soda ash (Na2CO3) and sodium bicarbonate (NaHCO3)</v>
      </c>
      <c r="D38" s="420"/>
      <c r="E38" s="420"/>
      <c r="F38" s="420"/>
      <c r="G38" s="421"/>
      <c r="H38" s="132" t="str">
        <f>_xlfn.CONCAT(_xlfn.XLOOKUP("[S06_AccredCertVerifiersAnnexI][22][NumberAccredited]",Submission!$O:$O,Submission!$H:$N,""))</f>
        <v>2</v>
      </c>
      <c r="I38" s="132" t="str">
        <f>_xlfn.CONCAT(_xlfn.XLOOKUP("[S06_AccredCertVerifiersAnnexI][22][NumberCertified]",Submission!$O:$O,Submission!$H:$N,""))</f>
        <v>2</v>
      </c>
    </row>
    <row r="39" spans="2:9" ht="27.6" hidden="1" customHeight="1" outlineLevel="1" x14ac:dyDescent="0.3">
      <c r="B39" s="20"/>
      <c r="C39" s="419" t="str">
        <f>_xlfn.CONCAT(_xlfn.XLOOKUP("[S06_AccredCertVerifiersAnnexI][23][AccredCertScope]",Submission!$O:$O,Submission!$H:$N,""))</f>
        <v xml:space="preserve">9 - Production of nitric acid (CO2 and N2O emissions) </v>
      </c>
      <c r="D39" s="420"/>
      <c r="E39" s="420"/>
      <c r="F39" s="420"/>
      <c r="G39" s="421"/>
      <c r="H39" s="132" t="str">
        <f>_xlfn.CONCAT(_xlfn.XLOOKUP("[S06_AccredCertVerifiersAnnexI][23][NumberAccredited]",Submission!$O:$O,Submission!$H:$N,""))</f>
        <v>2</v>
      </c>
      <c r="I39" s="132" t="str">
        <f>_xlfn.CONCAT(_xlfn.XLOOKUP("[S06_AccredCertVerifiersAnnexI][23][NumberCertified]",Submission!$O:$O,Submission!$H:$N,""))</f>
        <v>2</v>
      </c>
    </row>
    <row r="40" spans="2:9" ht="27.6" hidden="1" customHeight="1" outlineLevel="1" x14ac:dyDescent="0.3">
      <c r="B40" s="20"/>
      <c r="C40" s="419" t="str">
        <f>_xlfn.CONCAT(_xlfn.XLOOKUP("[S06_AccredCertVerifiersAnnexI][24][AccredCertScope]",Submission!$O:$O,Submission!$H:$N,""))</f>
        <v>98 - Other activities pursuant to Article 10a of Directive 2003/87/EC</v>
      </c>
      <c r="D40" s="420"/>
      <c r="E40" s="420"/>
      <c r="F40" s="420"/>
      <c r="G40" s="421"/>
      <c r="H40" s="132" t="str">
        <f>_xlfn.CONCAT(_xlfn.XLOOKUP("[S06_AccredCertVerifiersAnnexI][24][NumberAccredited]",Submission!$O:$O,Submission!$H:$N,""))</f>
        <v>3</v>
      </c>
      <c r="I40" s="132" t="str">
        <f>_xlfn.CONCAT(_xlfn.XLOOKUP("[S06_AccredCertVerifiersAnnexI][24][NumberCertified]",Submission!$O:$O,Submission!$H:$N,""))</f>
        <v>3</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No</v>
      </c>
      <c r="H56" s="260"/>
      <c r="I56" s="47" t="str">
        <f>_xlfn.CONCAT(_xlfn.XLOOKUP("[S06_ApplicationInformationExchangeRequirements1][1][FromOtherMS]",Submission!$O:$O,Submission!$H:$N,""))</f>
        <v>Yes</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No</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Yes</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10</v>
      </c>
      <c r="H71" s="105" t="str">
        <f>_xlfn.CONCAT(_xlfn.XLOOKUP("[S06_ApplicationInformationExchangeRequirements4][3][NumberOfIssuesResolved]",Submission!$O:$O,Submission!$H:$N,""))</f>
        <v>5</v>
      </c>
      <c r="I71" s="105" t="str">
        <f>_xlfn.CONCAT(_xlfn.XLOOKUP("[S06_ApplicationInformationExchangeRequirements4][3][NumberOfPriorIssuesResolved]",Submission!$O:$O,Submission!$H:$N,""))</f>
        <v>4</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125</v>
      </c>
      <c r="D78" s="105" t="str">
        <f>_xlfn.CONCAT(_xlfn.XLOOKUP("[S06_InstallationsConservativeEstimates][1][InstallationAnnualEmissionstCO2e]",Submission!$O:$O,Submission!$H:$N,""))</f>
        <v>0</v>
      </c>
      <c r="E78" s="157" t="str">
        <f>_xlfn.CONCAT(_xlfn.XLOOKUP("[S06_InstallationsConservativeEstimates][1][ReasonConservativeEstimate]",Submission!$O:$O,Submission!$H:$N,""))</f>
        <v>No emission report submitted by the 31st of March</v>
      </c>
      <c r="F78" s="189" t="str">
        <f>_xlfn.CONCAT(_xlfn.XLOOKUP("[S06_InstallationsConservativeEstimates][1][InstallationConservativeShare]",Submission!$O:$O,Submission!$H:$N,""))</f>
        <v>0</v>
      </c>
      <c r="G78" s="72" t="str">
        <f>_xlfn.CONCAT(_xlfn.XLOOKUP("[S06_InstallationsConservativeEstimates][1][ConservativeMethod]",Submission!$O:$O,Submission!$H:$N,""))</f>
        <v>Presented data from the Regional Inspectorates of Environment and Water</v>
      </c>
      <c r="H78" s="72" t="str">
        <f>_xlfn.CONCAT(_xlfn.XLOOKUP("[S06_InstallationsConservativeEstimates][1][FurtherAction]",Submission!$O:$O,Submission!$H:$N,""))</f>
        <v>Imposition of fines</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58</v>
      </c>
      <c r="D79" s="105" t="str">
        <f>_xlfn.CONCAT(_xlfn.XLOOKUP("[S06_InstallationsConservativeEstimates][2][InstallationAnnualEmissionstCO2e]",Submission!$O:$O,Submission!$H:$N,""))</f>
        <v>0</v>
      </c>
      <c r="E79" s="157" t="str">
        <f>_xlfn.CONCAT(_xlfn.XLOOKUP("[S06_InstallationsConservativeEstimates][2][ReasonConservativeEstimate]",Submission!$O:$O,Submission!$H:$N,""))</f>
        <v>No emission report submitted by the 31st of March</v>
      </c>
      <c r="F79" s="189" t="str">
        <f>_xlfn.CONCAT(_xlfn.XLOOKUP("[S06_InstallationsConservativeEstimates][2][InstallationConservativeShare]",Submission!$O:$O,Submission!$H:$N,""))</f>
        <v>0</v>
      </c>
      <c r="G79" s="72" t="str">
        <f>_xlfn.CONCAT(_xlfn.XLOOKUP("[S06_InstallationsConservativeEstimates][2][ConservativeMethod]",Submission!$O:$O,Submission!$H:$N,""))</f>
        <v>Presented data from the Regional Inspectorates of Environment and Water</v>
      </c>
      <c r="H79" s="72" t="str">
        <f>_xlfn.CONCAT(_xlfn.XLOOKUP("[S06_InstallationsConservativeEstimates][2][FurtherAction]",Submission!$O:$O,Submission!$H:$N,""))</f>
        <v>Imposition of fines</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46</v>
      </c>
      <c r="D80" s="105" t="str">
        <f>_xlfn.CONCAT(_xlfn.XLOOKUP("[S06_InstallationsConservativeEstimates][3][InstallationAnnualEmissionstCO2e]",Submission!$O:$O,Submission!$H:$N,""))</f>
        <v>0</v>
      </c>
      <c r="E80" s="157" t="str">
        <f>_xlfn.CONCAT(_xlfn.XLOOKUP("[S06_InstallationsConservativeEstimates][3][ReasonConservativeEstimate]",Submission!$O:$O,Submission!$H:$N,""))</f>
        <v>No emission report submitted by the 31st of March</v>
      </c>
      <c r="F80" s="189" t="str">
        <f>_xlfn.CONCAT(_xlfn.XLOOKUP("[S06_InstallationsConservativeEstimates][3][InstallationConservativeShare]",Submission!$O:$O,Submission!$H:$N,""))</f>
        <v>0</v>
      </c>
      <c r="G80" s="72" t="str">
        <f>_xlfn.CONCAT(_xlfn.XLOOKUP("[S06_InstallationsConservativeEstimates][3][ConservativeMethod]",Submission!$O:$O,Submission!$H:$N,""))</f>
        <v>Presented data from the Regional Inspectorates of Environment and Water</v>
      </c>
      <c r="H80" s="72" t="str">
        <f>_xlfn.CONCAT(_xlfn.XLOOKUP("[S06_InstallationsConservativeEstimates][3][FurtherAction]",Submission!$O:$O,Submission!$H:$N,""))</f>
        <v>Imposition of fines</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135</v>
      </c>
      <c r="D81" s="105" t="str">
        <f>_xlfn.CONCAT(_xlfn.XLOOKUP("[S06_InstallationsConservativeEstimates][4][InstallationAnnualEmissionstCO2e]",Submission!$O:$O,Submission!$H:$N,""))</f>
        <v>0</v>
      </c>
      <c r="E81" s="157" t="str">
        <f>_xlfn.CONCAT(_xlfn.XLOOKUP("[S06_InstallationsConservativeEstimates][4][ReasonConservativeEstimate]",Submission!$O:$O,Submission!$H:$N,""))</f>
        <v>No emission report submitted by the 31st of March</v>
      </c>
      <c r="F81" s="189" t="str">
        <f>_xlfn.CONCAT(_xlfn.XLOOKUP("[S06_InstallationsConservativeEstimates][4][InstallationConservativeShare]",Submission!$O:$O,Submission!$H:$N,""))</f>
        <v>0</v>
      </c>
      <c r="G81" s="72" t="str">
        <f>_xlfn.CONCAT(_xlfn.XLOOKUP("[S06_InstallationsConservativeEstimates][4][ConservativeMethod]",Submission!$O:$O,Submission!$H:$N,""))</f>
        <v>Presented data from the Regional Inspectorates of Environment and Water</v>
      </c>
      <c r="H81" s="72" t="str">
        <f>_xlfn.CONCAT(_xlfn.XLOOKUP("[S06_InstallationsConservativeEstimates][4][FurtherAction]",Submission!$O:$O,Submission!$H:$N,""))</f>
        <v>Imposition of fines</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131</v>
      </c>
      <c r="D82" s="105" t="str">
        <f>_xlfn.CONCAT(_xlfn.XLOOKUP("[S06_InstallationsConservativeEstimates][5][InstallationAnnualEmissionstCO2e]",Submission!$O:$O,Submission!$H:$N,""))</f>
        <v>3960.139496</v>
      </c>
      <c r="E82" s="157" t="str">
        <f>_xlfn.CONCAT(_xlfn.XLOOKUP("[S06_InstallationsConservativeEstimates][5][ReasonConservativeEstimate]",Submission!$O:$O,Submission!$H:$N,""))</f>
        <v>No emission report submitted by the 31st of March</v>
      </c>
      <c r="F82" s="189" t="str">
        <f>_xlfn.CONCAT(_xlfn.XLOOKUP("[S06_InstallationsConservativeEstimates][5][InstallationConservativeShare]",Submission!$O:$O,Submission!$H:$N,""))</f>
        <v>0.9</v>
      </c>
      <c r="G82" s="72" t="str">
        <f>_xlfn.CONCAT(_xlfn.XLOOKUP("[S06_InstallationsConservativeEstimates][5][ConservativeMethod]",Submission!$O:$O,Submission!$H:$N,""))</f>
        <v>Presented data from the Regional Inspectorates of Environment and Water</v>
      </c>
      <c r="H82" s="72" t="str">
        <f>_xlfn.CONCAT(_xlfn.XLOOKUP("[S06_InstallationsConservativeEstimates][5][FurtherAction]",Submission!$O:$O,Submission!$H:$N,""))</f>
        <v>Combination of the above</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148</v>
      </c>
      <c r="D83" s="105" t="str">
        <f>_xlfn.CONCAT(_xlfn.XLOOKUP("[S06_InstallationsConservativeEstimates][6][InstallationAnnualEmissionstCO2e]",Submission!$O:$O,Submission!$H:$N,""))</f>
        <v>245</v>
      </c>
      <c r="E83" s="157" t="str">
        <f>_xlfn.CONCAT(_xlfn.XLOOKUP("[S06_InstallationsConservativeEstimates][6][ReasonConservativeEstimate]",Submission!$O:$O,Submission!$H:$N,""))</f>
        <v>No emission report submitted by the 31st of March</v>
      </c>
      <c r="F83" s="189" t="str">
        <f>_xlfn.CONCAT(_xlfn.XLOOKUP("[S06_InstallationsConservativeEstimates][6][InstallationConservativeShare]",Submission!$O:$O,Submission!$H:$N,""))</f>
        <v>0.1</v>
      </c>
      <c r="G83" s="72" t="str">
        <f>_xlfn.CONCAT(_xlfn.XLOOKUP("[S06_InstallationsConservativeEstimates][6][ConservativeMethod]",Submission!$O:$O,Submission!$H:$N,""))</f>
        <v>Presented data from the Regional Inspectorates of Environment and Water</v>
      </c>
      <c r="H83" s="72" t="str">
        <f>_xlfn.CONCAT(_xlfn.XLOOKUP("[S06_InstallationsConservativeEstimates][6][FurtherAction]",Submission!$O:$O,Submission!$H:$N,""))</f>
        <v>Combination of the above</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203535</v>
      </c>
      <c r="D84" s="105" t="str">
        <f>_xlfn.CONCAT(_xlfn.XLOOKUP("[S06_InstallationsConservativeEstimates][7][InstallationAnnualEmissionstCO2e]",Submission!$O:$O,Submission!$H:$N,""))</f>
        <v>0</v>
      </c>
      <c r="E84" s="157" t="str">
        <f>_xlfn.CONCAT(_xlfn.XLOOKUP("[S06_InstallationsConservativeEstimates][7][ReasonConservativeEstimate]",Submission!$O:$O,Submission!$H:$N,""))</f>
        <v>No emission report submitted by the 31st of March</v>
      </c>
      <c r="F84" s="189" t="str">
        <f>_xlfn.CONCAT(_xlfn.XLOOKUP("[S06_InstallationsConservativeEstimates][7][InstallationConservativeShare]",Submission!$O:$O,Submission!$H:$N,""))</f>
        <v>0</v>
      </c>
      <c r="G84" s="72" t="str">
        <f>_xlfn.CONCAT(_xlfn.XLOOKUP("[S06_InstallationsConservativeEstimates][7][ConservativeMethod]",Submission!$O:$O,Submission!$H:$N,""))</f>
        <v>Presented data from the Regional Inspectorates of Environment and Water</v>
      </c>
      <c r="H84" s="72" t="str">
        <f>_xlfn.CONCAT(_xlfn.XLOOKUP("[S06_InstallationsConservativeEstimates][7][FurtherAction]",Submission!$O:$O,Submission!$H:$N,""))</f>
        <v>Imposition of fines</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202192</v>
      </c>
      <c r="D85" s="105" t="str">
        <f>_xlfn.CONCAT(_xlfn.XLOOKUP("[S06_InstallationsConservativeEstimates][8][InstallationAnnualEmissionstCO2e]",Submission!$O:$O,Submission!$H:$N,""))</f>
        <v>0</v>
      </c>
      <c r="E85" s="157" t="str">
        <f>_xlfn.CONCAT(_xlfn.XLOOKUP("[S06_InstallationsConservativeEstimates][8][ReasonConservativeEstimate]",Submission!$O:$O,Submission!$H:$N,""))</f>
        <v>No emission report submitted by the 31st of March</v>
      </c>
      <c r="F85" s="189" t="str">
        <f>_xlfn.CONCAT(_xlfn.XLOOKUP("[S06_InstallationsConservativeEstimates][8][InstallationConservativeShare]",Submission!$O:$O,Submission!$H:$N,""))</f>
        <v>0</v>
      </c>
      <c r="G85" s="72" t="str">
        <f>_xlfn.CONCAT(_xlfn.XLOOKUP("[S06_InstallationsConservativeEstimates][8][ConservativeMethod]",Submission!$O:$O,Submission!$H:$N,""))</f>
        <v>Presented data from the Regional Inspectorates of Environment and Water</v>
      </c>
      <c r="H85" s="72" t="str">
        <f>_xlfn.CONCAT(_xlfn.XLOOKUP("[S06_InstallationsConservativeEstimates][8][FurtherAction]",Submission!$O:$O,Submission!$H:$N,""))</f>
        <v>Combination of the above</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8</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Non-conformities not leading to a negative verification opinion statement</v>
      </c>
      <c r="F133" s="364"/>
      <c r="G133" s="105" t="str">
        <f>_xlfn.CONCAT(_xlfn.XLOOKUP("[S06_InstallationsVerificationReportsIssueDetail]["&amp;1&amp;"][NumberOfInstallations]",Submission!$O:$O,Submission!$H:$N,""))</f>
        <v>3</v>
      </c>
      <c r="H133" s="108" t="str">
        <f>_xlfn.CONCAT(_xlfn.XLOOKUP("[S06_InstallationsVerificationReportsIssueDetail]["&amp;1&amp;"][NumberOfIssues]",Submission!$O:$O,Submission!$H:$N,""))</f>
        <v>2</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31 - Manufacture of glass as specified in Annex I of Directive 2003/87/EC</v>
      </c>
      <c r="D134" s="364"/>
      <c r="E134" s="274" t="str">
        <f>_xlfn.CONCAT(_xlfn.XLOOKUP("[S06_InstallationsVerificationReportsIssueDetail]["&amp;1+ROW(B134)-ROW($B$133)&amp;"][TypeOfIssue]",Submission!$O:$O,Submission!$H:$N,""))</f>
        <v>Non-conformities not leading to a negative verification opinion statement</v>
      </c>
      <c r="F134" s="364"/>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44 - Production of soda ash (Na2CO3) and sodium bicarbonate (NaHCO3) as specified in Annex I of Directive 2003/87/EC</v>
      </c>
      <c r="D135" s="364"/>
      <c r="E135" s="274" t="str">
        <f>_xlfn.CONCAT(_xlfn.XLOOKUP("[S06_InstallationsVerificationReportsIssueDetail]["&amp;1+ROW(B135)-ROW($B$133)&amp;"][TypeOfIssue]",Submission!$O:$O,Submission!$H:$N,""))</f>
        <v>Non-material misstatements</v>
      </c>
      <c r="F135" s="364"/>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 xml:space="preserve">36 - Production of paper or cardboard as specified in Annex I of Directive 2003/87/EC </v>
      </c>
      <c r="D136" s="364"/>
      <c r="E136" s="274" t="str">
        <f>_xlfn.CONCAT(_xlfn.XLOOKUP("[S06_InstallationsVerificationReportsIssueDetail]["&amp;1+ROW(B136)-ROW($B$133)&amp;"][TypeOfIssue]",Submission!$O:$O,Submission!$H:$N,""))</f>
        <v>Non-conformities not leading to a negative verification opinion statement</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32 - Manufacture of ceramic products as specified in Annex I of Directive 2003/87/EC</v>
      </c>
      <c r="D137" s="364"/>
      <c r="E137" s="274" t="str">
        <f>_xlfn.CONCAT(_xlfn.XLOOKUP("[S06_InstallationsVerificationReportsIssueDetail]["&amp;1+ROW(B137)-ROW($B$133)&amp;"][TypeOfIssue]",Submission!$O:$O,Submission!$H:$N,""))</f>
        <v>Non-conformities not leading to a negative verification opinion statement</v>
      </c>
      <c r="F137" s="364"/>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1</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
      </c>
      <c r="D138" s="364"/>
      <c r="E138" s="274" t="str">
        <f>_xlfn.CONCAT(_xlfn.XLOOKUP("[S06_InstallationsVerificationReportsIssueDetail]["&amp;1+ROW(B138)-ROW($B$133)&amp;"][TypeOfIssue]",Submission!$O:$O,Submission!$H:$N,""))</f>
        <v/>
      </c>
      <c r="F138" s="364"/>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Data for activity level reported to the MOEW; information about the operation of the instalation-provided from RIEW.</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0.08</v>
      </c>
      <c r="H233" s="129" t="str">
        <f>_xlfn.CONCAT(_xlfn.XLOOKUP("[S06_InstallationsVerificationReportChecksDetail1][5][SelectingCriteria]",Submission!$O:$O,Submission!$H:$N,""))</f>
        <v>Random selection</v>
      </c>
      <c r="I233" s="130" t="str">
        <f>_xlfn.CONCAT(_xlfn.XLOOKUP("[S06_InstallationsVerificationReportChecksDetail1][5][FurtherInformation]",Submission!$O:$O,Submission!$H:$N,""))</f>
        <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0</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The annual exchange of information from the competent authority to the National Accreditation Bodies, according to Art. 73 of Regulation (EU) № 2018/2067</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0</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All large aircraft operators</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2023-05-30T00:07:18Z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